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90" windowWidth="18915" windowHeight="7230"/>
  </bookViews>
  <sheets>
    <sheet name="TABLERO PRETENSADO" sheetId="1" r:id="rId1"/>
    <sheet name="TABLERO ACERO" sheetId="5" r:id="rId2"/>
    <sheet name="Generador de Vigas de Acero" sheetId="4" r:id="rId3"/>
    <sheet name="BASE DE DATOS" sheetId="3" r:id="rId4"/>
  </sheets>
  <definedNames>
    <definedName name="_xlnm.Print_Titles" localSheetId="2">'Generador de Vigas de Acero'!$1:$3</definedName>
    <definedName name="_xlnm.Print_Titles" localSheetId="1">'TABLERO ACERO'!$1:$3</definedName>
    <definedName name="_xlnm.Print_Titles" localSheetId="0">'TABLERO PRETENSADO'!$1:$3</definedName>
  </definedNames>
  <calcPr calcId="125725" fullPrecision="0"/>
</workbook>
</file>

<file path=xl/calcChain.xml><?xml version="1.0" encoding="utf-8"?>
<calcChain xmlns="http://schemas.openxmlformats.org/spreadsheetml/2006/main">
  <c r="N24" i="5"/>
  <c r="N25"/>
  <c r="G41" s="1"/>
  <c r="K41" s="1"/>
  <c r="N26"/>
  <c r="N27"/>
  <c r="E62"/>
  <c r="L58"/>
  <c r="L57"/>
  <c r="L54"/>
  <c r="L53"/>
  <c r="K47"/>
  <c r="K46"/>
  <c r="D41"/>
  <c r="G66" s="1"/>
  <c r="C62"/>
  <c r="N18"/>
  <c r="M18"/>
  <c r="J18"/>
  <c r="H18"/>
  <c r="E18"/>
  <c r="D18"/>
  <c r="C18"/>
  <c r="L13" i="4"/>
  <c r="L12"/>
  <c r="L11"/>
  <c r="G68" i="1"/>
  <c r="G67"/>
  <c r="G66"/>
  <c r="L58"/>
  <c r="N27"/>
  <c r="N26"/>
  <c r="L54"/>
  <c r="L57"/>
  <c r="L53"/>
  <c r="H20" i="5" l="1"/>
  <c r="G68"/>
  <c r="G67"/>
  <c r="C63"/>
  <c r="C64" s="1"/>
  <c r="E63"/>
  <c r="E64" s="1"/>
  <c r="K46" i="1"/>
  <c r="K47"/>
  <c r="N25"/>
  <c r="G41" s="1"/>
  <c r="K41" s="1"/>
  <c r="D41"/>
  <c r="N24"/>
  <c r="O31"/>
  <c r="L31"/>
  <c r="K31"/>
  <c r="E62" s="1"/>
  <c r="J31"/>
  <c r="I31"/>
  <c r="G31"/>
  <c r="F31"/>
  <c r="N31"/>
  <c r="R38" i="3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D18" i="1"/>
  <c r="M18"/>
  <c r="C18"/>
  <c r="N18"/>
  <c r="J18"/>
  <c r="E18"/>
  <c r="H18"/>
  <c r="I35" i="5" l="1"/>
  <c r="G43" s="1"/>
  <c r="K43" s="1"/>
  <c r="I34"/>
  <c r="L34" s="1"/>
  <c r="L35" s="1"/>
  <c r="G40" s="1"/>
  <c r="K40" s="1"/>
  <c r="E63" i="1"/>
  <c r="E64" s="1"/>
  <c r="C63"/>
  <c r="C64" s="1"/>
  <c r="C62"/>
  <c r="H20"/>
  <c r="I35" s="1"/>
  <c r="G43" s="1"/>
  <c r="K43" s="1"/>
  <c r="G42" i="5" l="1"/>
  <c r="K42" s="1"/>
  <c r="K48"/>
  <c r="K49" s="1"/>
  <c r="I34" i="1"/>
  <c r="G42" s="1"/>
  <c r="K42" s="1"/>
  <c r="I63" i="5" l="1"/>
  <c r="L63" s="1"/>
  <c r="J68" s="1"/>
  <c r="I68" s="1"/>
  <c r="I62"/>
  <c r="L62" s="1"/>
  <c r="J67" s="1"/>
  <c r="K67" s="1"/>
  <c r="K44"/>
  <c r="L34" i="1"/>
  <c r="L35" s="1"/>
  <c r="G40" s="1"/>
  <c r="K40" s="1"/>
  <c r="K48"/>
  <c r="K49" s="1"/>
  <c r="I62" s="1"/>
  <c r="K68" i="5" l="1"/>
  <c r="I67"/>
  <c r="K44" i="1"/>
  <c r="L62"/>
  <c r="J67" s="1"/>
  <c r="I63"/>
  <c r="L63" s="1"/>
  <c r="J68" s="1"/>
  <c r="I67" l="1"/>
  <c r="K67"/>
  <c r="K68"/>
  <c r="I68"/>
</calcChain>
</file>

<file path=xl/comments1.xml><?xml version="1.0" encoding="utf-8"?>
<comments xmlns="http://schemas.openxmlformats.org/spreadsheetml/2006/main">
  <authors>
    <author>MANUEL GUIA</author>
  </authors>
  <commentList>
    <comment ref="J25" authorId="0">
      <text>
        <r>
          <rPr>
            <b/>
            <sz val="9"/>
            <color indexed="81"/>
            <rFont val="Tahoma"/>
            <charset val="1"/>
          </rPr>
          <t xml:space="preserve"> Alturas de Viga Recomendadas según la Luz
1.-Vigas de acero hv=0.05L
2.-Vigas Pretensados hv=0.06L
3.Vigas de Concreto hv=0.07L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RESISTENCIA DE LOS CONCRETOS PRECOMPRIMIEDOS
F´C</t>
        </r>
        <r>
          <rPr>
            <b/>
            <sz val="9"/>
            <color indexed="81"/>
            <rFont val="Calibri"/>
            <family val="2"/>
          </rPr>
          <t>≥</t>
        </r>
        <r>
          <rPr>
            <b/>
            <sz val="9"/>
            <color indexed="81"/>
            <rFont val="Tahoma"/>
            <family val="2"/>
          </rPr>
          <t>350,00 Kg/cm^2</t>
        </r>
      </text>
    </comment>
  </commentList>
</comments>
</file>

<file path=xl/comments2.xml><?xml version="1.0" encoding="utf-8"?>
<comments xmlns="http://schemas.openxmlformats.org/spreadsheetml/2006/main">
  <authors>
    <author>MANUEL GUIA</author>
  </authors>
  <commentList>
    <comment ref="J25" authorId="0">
      <text>
        <r>
          <rPr>
            <b/>
            <sz val="9"/>
            <color indexed="81"/>
            <rFont val="Tahoma"/>
            <charset val="1"/>
          </rPr>
          <t xml:space="preserve"> Alturas de Viga Recomendadas según la Luz
1.-Vigas de acero hv=0.05L
2.-Vigas Pretensados hv=0.06L
3.Vigas de Concreto hv=0.07L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RESISTENCIA DE LOS CONCRETOS PRECOMPRIMIEDOS
F´C</t>
        </r>
        <r>
          <rPr>
            <b/>
            <sz val="9"/>
            <color indexed="81"/>
            <rFont val="Calibri"/>
            <family val="2"/>
          </rPr>
          <t>≥</t>
        </r>
        <r>
          <rPr>
            <b/>
            <sz val="9"/>
            <color indexed="81"/>
            <rFont val="Tahoma"/>
            <family val="2"/>
          </rPr>
          <t>350,00 Kg/cm^2</t>
        </r>
      </text>
    </comment>
  </commentList>
</comments>
</file>

<file path=xl/comments3.xml><?xml version="1.0" encoding="utf-8"?>
<comments xmlns="http://schemas.openxmlformats.org/spreadsheetml/2006/main">
  <authors>
    <author>MANUEL GUIA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 xml:space="preserve">
0,0214----0,0250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 xml:space="preserve">
0,4762---0,8333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
0,0286---0,0375
</t>
        </r>
      </text>
    </comment>
  </commentList>
</comments>
</file>

<file path=xl/comments4.xml><?xml version="1.0" encoding="utf-8"?>
<comments xmlns="http://schemas.openxmlformats.org/spreadsheetml/2006/main">
  <authors>
    <author>MANUEL GUIA</author>
  </authors>
  <commentList>
    <comment ref="R2" authorId="0">
      <text>
        <r>
          <rPr>
            <b/>
            <sz val="9"/>
            <color indexed="81"/>
            <rFont val="Tahoma"/>
            <family val="2"/>
          </rPr>
          <t>Coeficiente de Distribución Según A.A.S.H.T.O
 S/1,676</t>
        </r>
      </text>
    </comment>
  </commentList>
</comments>
</file>

<file path=xl/sharedStrings.xml><?xml version="1.0" encoding="utf-8"?>
<sst xmlns="http://schemas.openxmlformats.org/spreadsheetml/2006/main" count="249" uniqueCount="117">
  <si>
    <t>Ing. Manuel V. Guía L.</t>
  </si>
  <si>
    <t>C.I.V 190.890</t>
  </si>
  <si>
    <t>DISEÑO Y CALCULO DE PUENTES CON VIGAS PRETENSADAS</t>
  </si>
  <si>
    <t># de Trochas</t>
  </si>
  <si>
    <t>Ancho de Trocha</t>
  </si>
  <si>
    <t>Ancho de Acera</t>
  </si>
  <si>
    <t>DIMENSIONES DEL TABLERO (TODAS LAS UNIDADES ESTAN EXPRESADAS EN m)</t>
  </si>
  <si>
    <t>Ancho de Divisoria</t>
  </si>
  <si>
    <t>Hombrillo</t>
  </si>
  <si>
    <t>Ancho de Hombrillo</t>
  </si>
  <si>
    <t>BARANDA</t>
  </si>
  <si>
    <t>CARACTERÍSTICAS DE LA VIGA (PREVENCA)</t>
  </si>
  <si>
    <t>TIPO DE VIGA</t>
  </si>
  <si>
    <t>TIPO DE VIGAS</t>
  </si>
  <si>
    <t>NOMBRE</t>
  </si>
  <si>
    <t>CAGUA 120</t>
  </si>
  <si>
    <t>CAGUA 140</t>
  </si>
  <si>
    <t>CAGUA 142</t>
  </si>
  <si>
    <t>CAGUA 150</t>
  </si>
  <si>
    <t>CAGUA 160</t>
  </si>
  <si>
    <t>CAGUA 180</t>
  </si>
  <si>
    <t>SEPARACIÓN (m)</t>
  </si>
  <si>
    <t>SEP (m)</t>
  </si>
  <si>
    <t>Lc (m) [Pre-Ten]</t>
  </si>
  <si>
    <t>Lc Max (m) [Pos-Ten]</t>
  </si>
  <si>
    <t>A (cm^2)</t>
  </si>
  <si>
    <t>I (cm^4)</t>
  </si>
  <si>
    <t>Yo (cm)</t>
  </si>
  <si>
    <t>So (cm^3)</t>
  </si>
  <si>
    <t>P.P Separador (Kg)</t>
  </si>
  <si>
    <t>Coef. Distr</t>
  </si>
  <si>
    <t>CARACTERÍSTICAS (SECCIÓN COMPUESTA)</t>
  </si>
  <si>
    <t>DEFENSA</t>
  </si>
  <si>
    <t xml:space="preserve"> ------------------------------------------------------------------</t>
  </si>
  <si>
    <t xml:space="preserve"> --------------------------------------------------------------------</t>
  </si>
  <si>
    <t>ρasf (Kg/cm2)</t>
  </si>
  <si>
    <t>Espesor de la Carpeta de Rodamiento (cm)=</t>
  </si>
  <si>
    <t>Luz del Puente (m)=</t>
  </si>
  <si>
    <t>Separación entre Vigas (m)=</t>
  </si>
  <si>
    <t>Cabezal (m)</t>
  </si>
  <si>
    <t>Espesor de Losa Calc(m)</t>
  </si>
  <si>
    <t>Espesor de Losa Final(m)</t>
  </si>
  <si>
    <t>CARGAS SOBRE EL PUENTE</t>
  </si>
  <si>
    <t>Tablero (Kg)--------------------------------------------------</t>
  </si>
  <si>
    <t>P.P de la Viga (Kg)</t>
  </si>
  <si>
    <t>----------------</t>
  </si>
  <si>
    <t>P.P (Kg/ml)</t>
  </si>
  <si>
    <t>----------</t>
  </si>
  <si>
    <t>Mg(Kg-m)</t>
  </si>
  <si>
    <t>Ml(Kg-m)</t>
  </si>
  <si>
    <t>Carpeta de Rodamiento (Kg)-------------------------------</t>
  </si>
  <si>
    <t>Masf(Kg-m)</t>
  </si>
  <si>
    <t>Número de Vigas (m)=</t>
  </si>
  <si>
    <t xml:space="preserve"> P.P Baranda 770,00 Kg/ml ( (Kg)--------------------------</t>
  </si>
  <si>
    <t>Mbar(Kg-m)</t>
  </si>
  <si>
    <t>CARGA MUERTA</t>
  </si>
  <si>
    <t>CARGA VIVA</t>
  </si>
  <si>
    <t>TIPO DE VEHICULO</t>
  </si>
  <si>
    <t>HS-20+20%</t>
  </si>
  <si>
    <t>MCV</t>
  </si>
  <si>
    <t>Vehiculo de Diseño</t>
  </si>
  <si>
    <t>Factor de Impacto</t>
  </si>
  <si>
    <t>Mcv(Kg-m)</t>
  </si>
  <si>
    <t>MATERIALES</t>
  </si>
  <si>
    <t>f´c del Concreto (Kg/cm2)</t>
  </si>
  <si>
    <t>TIPO DE AMBIENTE</t>
  </si>
  <si>
    <t>NO AGRESIVO</t>
  </si>
  <si>
    <t>TIPO DE CONCRETO</t>
  </si>
  <si>
    <t>PRETENSADO</t>
  </si>
  <si>
    <t>POSTENSADO</t>
  </si>
  <si>
    <t>Tipo de Concreto---------------------------</t>
  </si>
  <si>
    <t>Tipo de Ambientes de Exposición--------</t>
  </si>
  <si>
    <t>ESFUERZOS ADMISIBLES</t>
  </si>
  <si>
    <t>R´cc (Kg/cm2)=</t>
  </si>
  <si>
    <t>R´ct (Kg/cm2)=</t>
  </si>
  <si>
    <t>SIN ACERO DE REFUERZO</t>
  </si>
  <si>
    <t>HL-93</t>
  </si>
  <si>
    <t>-----------------------------------------------------------------------------</t>
  </si>
  <si>
    <t>f´ci del Concreto (Kg/cm2)</t>
  </si>
  <si>
    <t>CARACTERITICAS DE LA SECCIÓN SENCILLA</t>
  </si>
  <si>
    <t>CARACTERITICAS DE LA SECCIÓN COMPUESTA</t>
  </si>
  <si>
    <t>P</t>
  </si>
  <si>
    <t>HS-20</t>
  </si>
  <si>
    <t>Factor de Rueda</t>
  </si>
  <si>
    <t>Antes de la Pérdidas</t>
  </si>
  <si>
    <t>Rcc (Kg/cm2)=</t>
  </si>
  <si>
    <t>Despúes de la Pérdidas</t>
  </si>
  <si>
    <t>Ws=</t>
  </si>
  <si>
    <t>Ki=</t>
  </si>
  <si>
    <t>A (cm)</t>
  </si>
  <si>
    <t>Wi=</t>
  </si>
  <si>
    <t>Ks=</t>
  </si>
  <si>
    <t>Y (cm)</t>
  </si>
  <si>
    <t>Ys(cm)</t>
  </si>
  <si>
    <t>Yi(cm)</t>
  </si>
  <si>
    <t>σs^sc</t>
  </si>
  <si>
    <t>σi^sc</t>
  </si>
  <si>
    <t>Mct(Kg-m)</t>
  </si>
  <si>
    <t>AGRESIVOS</t>
  </si>
  <si>
    <t>Ws^sc=</t>
  </si>
  <si>
    <t>η</t>
  </si>
  <si>
    <t>Wi^sc=</t>
  </si>
  <si>
    <t>S0  (cm)</t>
  </si>
  <si>
    <t>S1 (cm)</t>
  </si>
  <si>
    <t>XXXXX</t>
  </si>
  <si>
    <t>DIMENSIONES DEL TABLERO (TODAS LAS UNIDADES ESTAN EXPRESADAS EN mm)</t>
  </si>
  <si>
    <t>h=</t>
  </si>
  <si>
    <t>tf</t>
  </si>
  <si>
    <t xml:space="preserve"> -----------------bf--------------------</t>
  </si>
  <si>
    <t xml:space="preserve"> --tw--</t>
  </si>
  <si>
    <t>ɸ1</t>
  </si>
  <si>
    <t>ɸ2</t>
  </si>
  <si>
    <t>ɸ3</t>
  </si>
  <si>
    <t>tw (mm)=</t>
  </si>
  <si>
    <t>bf (mm)=</t>
  </si>
  <si>
    <t>tf (mm)=</t>
  </si>
  <si>
    <t>PRE DIMENSIONADO DE VIGAS DE ACERO SEGÚN SU ALTURA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</si>
</sst>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9"/>
      <color indexed="81"/>
      <name val="Calibri"/>
      <family val="2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8" xfId="0" applyBorder="1"/>
    <xf numFmtId="0" fontId="0" fillId="0" borderId="9" xfId="0" applyBorder="1"/>
    <xf numFmtId="0" fontId="0" fillId="0" borderId="10" xfId="0" applyBorder="1" applyAlignment="1"/>
    <xf numFmtId="0" fontId="0" fillId="3" borderId="3" xfId="0" applyFill="1" applyBorder="1" applyAlignment="1"/>
    <xf numFmtId="2" fontId="2" fillId="0" borderId="0" xfId="0" applyNumberFormat="1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/>
    <xf numFmtId="0" fontId="3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 shrinkToFit="1"/>
    </xf>
    <xf numFmtId="4" fontId="0" fillId="0" borderId="18" xfId="0" applyNumberFormat="1" applyBorder="1" applyAlignment="1">
      <alignment horizontal="center" vertical="center" wrapText="1" shrinkToFit="1"/>
    </xf>
    <xf numFmtId="4" fontId="0" fillId="0" borderId="14" xfId="0" applyNumberFormat="1" applyBorder="1" applyAlignment="1">
      <alignment horizontal="center" vertical="center" wrapText="1" shrinkToFit="1"/>
    </xf>
    <xf numFmtId="4" fontId="0" fillId="0" borderId="15" xfId="0" applyNumberFormat="1" applyBorder="1" applyAlignment="1">
      <alignment horizontal="center" vertical="center" wrapText="1" shrinkToFit="1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15" xfId="0" applyNumberFormat="1" applyBorder="1" applyAlignment="1">
      <alignment horizontal="center" vertical="center" wrapText="1" shrinkToFit="1"/>
    </xf>
    <xf numFmtId="164" fontId="0" fillId="0" borderId="19" xfId="0" applyNumberFormat="1" applyBorder="1" applyAlignment="1">
      <alignment horizontal="center" vertical="center" wrapText="1" shrinkToFit="1"/>
    </xf>
    <xf numFmtId="164" fontId="0" fillId="0" borderId="16" xfId="0" applyNumberFormat="1" applyBorder="1" applyAlignment="1">
      <alignment horizontal="center" vertical="center" wrapText="1" shrinkToFit="1"/>
    </xf>
    <xf numFmtId="4" fontId="0" fillId="0" borderId="22" xfId="0" applyNumberFormat="1" applyBorder="1" applyAlignment="1">
      <alignment horizontal="center" vertical="center" wrapText="1" shrinkToFit="1"/>
    </xf>
    <xf numFmtId="164" fontId="0" fillId="0" borderId="23" xfId="0" applyNumberFormat="1" applyBorder="1" applyAlignment="1">
      <alignment horizontal="center" vertical="center" wrapText="1" shrinkToFit="1"/>
    </xf>
    <xf numFmtId="4" fontId="0" fillId="0" borderId="23" xfId="0" applyNumberFormat="1" applyBorder="1" applyAlignment="1">
      <alignment horizontal="center" vertical="center" wrapText="1" shrinkToFit="1"/>
    </xf>
    <xf numFmtId="164" fontId="0" fillId="0" borderId="24" xfId="0" applyNumberFormat="1" applyBorder="1" applyAlignment="1">
      <alignment horizontal="center" vertical="center" wrapText="1" shrinkToFit="1"/>
    </xf>
    <xf numFmtId="4" fontId="0" fillId="0" borderId="25" xfId="0" applyNumberFormat="1" applyBorder="1" applyAlignment="1">
      <alignment horizontal="center" vertical="center" wrapText="1" shrinkToFit="1"/>
    </xf>
    <xf numFmtId="164" fontId="0" fillId="0" borderId="26" xfId="0" applyNumberFormat="1" applyBorder="1" applyAlignment="1">
      <alignment horizontal="center" vertical="center" wrapText="1" shrinkToFit="1"/>
    </xf>
    <xf numFmtId="4" fontId="0" fillId="0" borderId="26" xfId="0" applyNumberFormat="1" applyBorder="1" applyAlignment="1">
      <alignment horizontal="center" vertical="center" wrapText="1" shrinkToFit="1"/>
    </xf>
    <xf numFmtId="164" fontId="0" fillId="0" borderId="27" xfId="0" applyNumberFormat="1" applyBorder="1" applyAlignment="1">
      <alignment horizontal="center" vertical="center" wrapText="1" shrinkToFit="1"/>
    </xf>
    <xf numFmtId="4" fontId="0" fillId="0" borderId="11" xfId="0" applyNumberFormat="1" applyBorder="1" applyAlignment="1">
      <alignment horizontal="center" vertical="center" wrapText="1" shrinkToFit="1"/>
    </xf>
    <xf numFmtId="164" fontId="0" fillId="0" borderId="12" xfId="0" applyNumberFormat="1" applyBorder="1" applyAlignment="1">
      <alignment horizontal="center" vertical="center" wrapText="1" shrinkToFit="1"/>
    </xf>
    <xf numFmtId="4" fontId="0" fillId="0" borderId="12" xfId="0" applyNumberFormat="1" applyBorder="1" applyAlignment="1">
      <alignment horizontal="center" vertical="center" wrapText="1" shrinkToFit="1"/>
    </xf>
    <xf numFmtId="164" fontId="0" fillId="0" borderId="13" xfId="0" applyNumberForma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2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2" borderId="17" xfId="0" applyFill="1" applyBorder="1" applyAlignment="1"/>
    <xf numFmtId="2" fontId="2" fillId="0" borderId="8" xfId="0" applyNumberFormat="1" applyFont="1" applyBorder="1" applyAlignment="1">
      <alignment horizontal="center" vertical="center"/>
    </xf>
    <xf numFmtId="0" fontId="0" fillId="0" borderId="33" xfId="0" applyBorder="1"/>
    <xf numFmtId="0" fontId="0" fillId="2" borderId="10" xfId="0" applyFill="1" applyBorder="1"/>
    <xf numFmtId="0" fontId="0" fillId="2" borderId="10" xfId="0" applyFill="1" applyBorder="1" applyAlignment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quotePrefix="1"/>
    <xf numFmtId="0" fontId="0" fillId="0" borderId="0" xfId="0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wrapText="1" shrinkToFit="1"/>
    </xf>
    <xf numFmtId="4" fontId="0" fillId="0" borderId="19" xfId="0" applyNumberFormat="1" applyBorder="1" applyAlignment="1">
      <alignment horizontal="center" vertical="center"/>
    </xf>
    <xf numFmtId="0" fontId="2" fillId="0" borderId="0" xfId="0" applyFont="1"/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26" xfId="0" applyNumberFormat="1" applyBorder="1" applyAlignment="1">
      <alignment horizontal="center" vertical="center" wrapText="1" shrinkToFit="1"/>
    </xf>
    <xf numFmtId="164" fontId="0" fillId="0" borderId="23" xfId="0" applyNumberForma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4" fillId="0" borderId="0" xfId="0" applyFont="1" applyAlignment="1">
      <alignment horizontal="justify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35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 shrinkToFi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8" xfId="0" applyBorder="1"/>
    <xf numFmtId="0" fontId="0" fillId="0" borderId="4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5" xfId="0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5" xfId="0" applyFill="1" applyBorder="1"/>
    <xf numFmtId="0" fontId="0" fillId="4" borderId="42" xfId="0" applyFill="1" applyBorder="1"/>
    <xf numFmtId="0" fontId="1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4" borderId="0" xfId="0" applyFill="1"/>
    <xf numFmtId="0" fontId="3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 wrapText="1" shrinkToFit="1"/>
    </xf>
    <xf numFmtId="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165" fontId="4" fillId="0" borderId="32" xfId="0" applyNumberFormat="1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 shrinkToFit="1"/>
    </xf>
    <xf numFmtId="4" fontId="0" fillId="0" borderId="15" xfId="0" applyNumberFormat="1" applyBorder="1" applyAlignment="1">
      <alignment horizontal="center" vertical="center" wrapText="1" shrinkToFit="1"/>
    </xf>
    <xf numFmtId="4" fontId="0" fillId="0" borderId="26" xfId="0" applyNumberFormat="1" applyBorder="1" applyAlignment="1">
      <alignment horizontal="center" vertical="center" wrapText="1" shrinkToFit="1"/>
    </xf>
    <xf numFmtId="4" fontId="0" fillId="0" borderId="12" xfId="0" applyNumberFormat="1" applyBorder="1" applyAlignment="1">
      <alignment horizontal="center" vertical="center" wrapText="1" shrinkToFit="1"/>
    </xf>
    <xf numFmtId="4" fontId="0" fillId="0" borderId="23" xfId="0" applyNumberForma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214678</xdr:colOff>
      <xdr:row>22</xdr:row>
      <xdr:rowOff>61546</xdr:rowOff>
    </xdr:from>
    <xdr:to>
      <xdr:col>4</xdr:col>
      <xdr:colOff>482111</xdr:colOff>
      <xdr:row>33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55"/>
        <a:stretch>
          <a:fillRect/>
        </a:stretch>
      </xdr:blipFill>
      <xdr:spPr bwMode="auto">
        <a:xfrm>
          <a:off x="214678" y="4557346"/>
          <a:ext cx="1839058" cy="24625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topLeftCell="A28" zoomScaleNormal="100" workbookViewId="0">
      <selection activeCell="J23" sqref="J23"/>
    </sheetView>
  </sheetViews>
  <sheetFormatPr baseColWidth="10" defaultRowHeight="15"/>
  <cols>
    <col min="1" max="1" width="4.7109375" customWidth="1"/>
    <col min="2" max="2" width="1.7109375" customWidth="1"/>
    <col min="4" max="4" width="5.7109375" customWidth="1"/>
    <col min="6" max="6" width="12.42578125" bestFit="1" customWidth="1"/>
    <col min="7" max="7" width="5.7109375" customWidth="1"/>
    <col min="8" max="9" width="7.7109375" customWidth="1"/>
    <col min="10" max="10" width="13.28515625" bestFit="1" customWidth="1"/>
    <col min="12" max="13" width="5.7109375" customWidth="1"/>
    <col min="15" max="15" width="1.7109375" customWidth="1"/>
    <col min="17" max="17" width="4.7109375" customWidth="1"/>
  </cols>
  <sheetData>
    <row r="1" spans="1:20">
      <c r="A1" t="s">
        <v>0</v>
      </c>
    </row>
    <row r="2" spans="1:20" ht="21">
      <c r="A2" t="s">
        <v>1</v>
      </c>
      <c r="F2" s="158" t="s">
        <v>2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4" spans="1:20">
      <c r="A4" s="145" t="s">
        <v>6</v>
      </c>
      <c r="B4" s="145"/>
      <c r="C4" s="145"/>
      <c r="D4" s="145"/>
      <c r="E4" s="145"/>
      <c r="F4" s="145"/>
      <c r="G4" s="145"/>
      <c r="H4" s="145"/>
      <c r="I4" s="145"/>
      <c r="J4" s="145"/>
    </row>
    <row r="6" spans="1:20">
      <c r="A6" s="7" t="s">
        <v>10</v>
      </c>
      <c r="B6" s="7"/>
      <c r="D6" s="161" t="s">
        <v>32</v>
      </c>
      <c r="E6" s="161"/>
      <c r="H6" s="153" t="s">
        <v>7</v>
      </c>
      <c r="I6" s="153"/>
      <c r="L6" s="142" t="s">
        <v>32</v>
      </c>
      <c r="M6" s="142"/>
      <c r="O6" s="7" t="s">
        <v>10</v>
      </c>
      <c r="Q6" s="142"/>
      <c r="R6" s="142"/>
      <c r="S6" s="1"/>
      <c r="T6" s="5"/>
    </row>
    <row r="7" spans="1:20">
      <c r="A7" s="148">
        <v>0</v>
      </c>
      <c r="B7" s="148"/>
      <c r="D7" s="12">
        <v>0.5</v>
      </c>
      <c r="E7" s="4"/>
      <c r="G7" s="7"/>
      <c r="H7" s="153"/>
      <c r="I7" s="153"/>
      <c r="J7" s="7"/>
      <c r="M7" s="12">
        <v>0.5</v>
      </c>
      <c r="O7" s="162">
        <v>0.2</v>
      </c>
      <c r="P7" s="162"/>
    </row>
    <row r="8" spans="1:20">
      <c r="H8" s="160">
        <v>2</v>
      </c>
      <c r="I8" s="160"/>
    </row>
    <row r="9" spans="1:20">
      <c r="C9" s="153" t="s">
        <v>5</v>
      </c>
      <c r="I9" s="3"/>
      <c r="J9" s="2"/>
      <c r="K9" s="2"/>
      <c r="N9" s="153" t="s">
        <v>5</v>
      </c>
      <c r="O9" s="49"/>
    </row>
    <row r="10" spans="1:20">
      <c r="A10" s="7"/>
      <c r="B10" s="7"/>
      <c r="C10" s="153"/>
      <c r="D10" s="1"/>
      <c r="E10" s="142" t="s">
        <v>3</v>
      </c>
      <c r="F10" s="142"/>
      <c r="G10" s="12">
        <v>2</v>
      </c>
      <c r="H10" s="5"/>
      <c r="I10" s="6"/>
      <c r="J10" s="159" t="s">
        <v>3</v>
      </c>
      <c r="K10" s="159"/>
      <c r="L10" s="12">
        <v>1</v>
      </c>
      <c r="M10" s="5"/>
      <c r="N10" s="153"/>
      <c r="O10" s="49"/>
      <c r="P10" s="7"/>
    </row>
    <row r="11" spans="1:20">
      <c r="C11" s="12">
        <v>0</v>
      </c>
      <c r="D11" s="5"/>
      <c r="E11" s="142" t="s">
        <v>4</v>
      </c>
      <c r="F11" s="142"/>
      <c r="G11" s="12">
        <v>3.3</v>
      </c>
      <c r="H11" s="5"/>
      <c r="I11" s="6"/>
      <c r="J11" s="159" t="s">
        <v>4</v>
      </c>
      <c r="K11" s="159"/>
      <c r="L11" s="12">
        <v>3.3</v>
      </c>
      <c r="M11" s="5"/>
      <c r="N11" s="12">
        <v>1.5</v>
      </c>
      <c r="O11" s="51"/>
    </row>
    <row r="12" spans="1:20">
      <c r="E12" s="142" t="s">
        <v>8</v>
      </c>
      <c r="F12" s="142"/>
      <c r="G12" s="12">
        <v>1</v>
      </c>
      <c r="I12" s="3"/>
      <c r="J12" s="142" t="s">
        <v>8</v>
      </c>
      <c r="K12" s="142"/>
      <c r="L12" s="12">
        <v>1</v>
      </c>
      <c r="M12" s="5"/>
      <c r="N12" s="12"/>
      <c r="O12" s="51"/>
    </row>
    <row r="13" spans="1:20" ht="15.75" thickBot="1">
      <c r="E13" s="142" t="s">
        <v>9</v>
      </c>
      <c r="F13" s="142"/>
      <c r="G13" s="12">
        <v>2</v>
      </c>
      <c r="I13" s="3"/>
      <c r="J13" s="142" t="s">
        <v>9</v>
      </c>
      <c r="K13" s="142"/>
      <c r="L13" s="12">
        <v>2</v>
      </c>
      <c r="M13" s="5"/>
      <c r="N13" s="12"/>
      <c r="O13" s="51"/>
      <c r="P13" s="70"/>
      <c r="Q13" s="2"/>
    </row>
    <row r="14" spans="1:20" ht="15.75" thickBot="1">
      <c r="B14" s="8"/>
      <c r="D14" s="8"/>
      <c r="I14" s="3"/>
      <c r="J14" s="2"/>
      <c r="M14" s="8"/>
      <c r="N14" s="12"/>
      <c r="O14" s="58"/>
      <c r="P14" s="70"/>
      <c r="Q14" s="2"/>
    </row>
    <row r="15" spans="1:20" ht="15.75" thickBot="1">
      <c r="B15" s="59"/>
      <c r="C15" s="2"/>
      <c r="D15" s="9"/>
      <c r="E15" s="2"/>
      <c r="F15" s="2"/>
      <c r="G15" s="2"/>
      <c r="H15" s="2"/>
      <c r="I15" s="3"/>
      <c r="J15" s="2"/>
      <c r="K15" s="2"/>
      <c r="L15" s="2"/>
      <c r="M15" s="9"/>
      <c r="N15" s="2"/>
      <c r="O15" s="59"/>
      <c r="P15" s="62"/>
      <c r="Q15" s="2"/>
    </row>
    <row r="16" spans="1:20" ht="15.75" thickBot="1">
      <c r="B16" s="60"/>
      <c r="C16" s="57"/>
      <c r="D16" s="10"/>
      <c r="E16" s="11"/>
      <c r="F16" s="11"/>
      <c r="G16" s="11"/>
      <c r="H16" s="170"/>
      <c r="I16" s="171"/>
      <c r="J16" s="11"/>
      <c r="K16" s="11"/>
      <c r="L16" s="11"/>
      <c r="M16" s="10"/>
      <c r="N16" s="57"/>
      <c r="O16" s="61"/>
      <c r="P16" s="12"/>
    </row>
    <row r="17" spans="1:22">
      <c r="H17" s="2"/>
      <c r="I17" s="2"/>
      <c r="J17" s="2"/>
    </row>
    <row r="18" spans="1:22">
      <c r="C18" s="13">
        <f>$C$11</f>
        <v>0</v>
      </c>
      <c r="D18" s="14">
        <f>$D$7</f>
        <v>0.5</v>
      </c>
      <c r="E18" s="164">
        <f>$G$10*$G$11+$G$12*$G$13</f>
        <v>8.6</v>
      </c>
      <c r="F18" s="165"/>
      <c r="G18" s="166"/>
      <c r="H18" s="167">
        <f>$H$8</f>
        <v>2</v>
      </c>
      <c r="I18" s="168"/>
      <c r="J18" s="164">
        <f>$L$10*$L$11+$L$12*$L$13</f>
        <v>5.3</v>
      </c>
      <c r="K18" s="169"/>
      <c r="L18" s="166"/>
      <c r="M18" s="16">
        <f>$M$7</f>
        <v>0.5</v>
      </c>
      <c r="N18" s="13">
        <f>$N$11</f>
        <v>1.5</v>
      </c>
      <c r="O18" s="50"/>
      <c r="T18" s="17"/>
      <c r="U18" s="17"/>
    </row>
    <row r="19" spans="1:22">
      <c r="T19" s="7"/>
      <c r="U19" s="7"/>
      <c r="V19" s="7"/>
    </row>
    <row r="20" spans="1:22">
      <c r="B20" s="176" t="s">
        <v>34</v>
      </c>
      <c r="C20" s="159"/>
      <c r="D20" s="159"/>
      <c r="E20" s="159"/>
      <c r="F20" s="159"/>
      <c r="G20" s="159"/>
      <c r="H20" s="150">
        <f>($C$18+$E$18+$H$18+$J$18+$N$18+$D$18+$M$18+$A$7+$O$7)</f>
        <v>18.600000000000001</v>
      </c>
      <c r="I20" s="141"/>
      <c r="J20" s="142" t="s">
        <v>33</v>
      </c>
      <c r="K20" s="142"/>
      <c r="L20" s="142"/>
      <c r="M20" s="142"/>
      <c r="N20" s="142"/>
      <c r="O20" s="177"/>
      <c r="T20" s="7"/>
      <c r="U20" s="7"/>
      <c r="V20" s="7"/>
    </row>
    <row r="21" spans="1:22">
      <c r="T21" s="7"/>
      <c r="U21" s="7"/>
      <c r="V21" s="7"/>
    </row>
    <row r="22" spans="1:22">
      <c r="A22" s="144" t="s">
        <v>11</v>
      </c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22">
      <c r="A23" s="64"/>
      <c r="B23" s="64"/>
      <c r="C23" s="64"/>
      <c r="D23" s="64"/>
      <c r="E23" s="64"/>
      <c r="F23" s="64"/>
      <c r="G23" s="145" t="s">
        <v>37</v>
      </c>
      <c r="H23" s="145"/>
      <c r="I23" s="145"/>
      <c r="J23" s="56">
        <v>70</v>
      </c>
    </row>
    <row r="24" spans="1:22">
      <c r="L24" s="143" t="s">
        <v>39</v>
      </c>
      <c r="M24" s="143"/>
      <c r="N24" s="78">
        <f>IF($J$25="CAGUA 120",0.46,IF($J$25="CAGUA 140",0.46,IF($J$25="CAGUA 142",0.6,IF($J$25="CAGUA 150",0.6,IF($J$25="CAGUA 160",0.8,IF($J$25="CAGUA 180",0.8,"ERROR"))))))</f>
        <v>0.46</v>
      </c>
    </row>
    <row r="25" spans="1:22">
      <c r="G25" s="142" t="s">
        <v>12</v>
      </c>
      <c r="H25" s="142"/>
      <c r="I25" s="142"/>
      <c r="J25" s="152" t="s">
        <v>15</v>
      </c>
      <c r="K25" s="139"/>
      <c r="L25" s="143" t="s">
        <v>46</v>
      </c>
      <c r="M25" s="143"/>
      <c r="N25" s="75">
        <f>IF($J$25="CAGUA 120",753,IF($J$25="CAGUA 140",832,IF($J$25="CAGUA 142",1060,IF($J$25="CAGUA 150",1180,IF($J$25="CAGUA 160",1250,IF($J$25="CAGUA 180",1340,"ERROR"))))))</f>
        <v>753</v>
      </c>
    </row>
    <row r="26" spans="1:22">
      <c r="G26" s="142" t="s">
        <v>21</v>
      </c>
      <c r="H26" s="142"/>
      <c r="I26" s="142"/>
      <c r="J26" s="148">
        <v>2</v>
      </c>
      <c r="K26" s="148"/>
      <c r="L26" s="142" t="s">
        <v>89</v>
      </c>
      <c r="M26" s="142"/>
      <c r="N26" s="76">
        <f>IF($J$25="CAGUA 120",'BASE DE DATOS'!$F$4,IF($J$25="CAGUA 140",'BASE DE DATOS'!$F$5,IF($J$25="CAGUA 142",'BASE DE DATOS'!$F$6,IF($J$25="CAGUA 150",'BASE DE DATOS'!$F$7,IF($J$25="CAGUA 160",'BASE DE DATOS'!$F$8,IF($J$25="CAGUA 120",'BASE DE DATOS'!$F$9))))))</f>
        <v>3.0750000000000002</v>
      </c>
    </row>
    <row r="27" spans="1:22">
      <c r="L27" s="142" t="s">
        <v>92</v>
      </c>
      <c r="M27" s="142"/>
      <c r="N27" s="75">
        <f>IF($J$25="CAGUA 120",'BASE DE DATOS'!$C$4,IF($J$25="CAGUA 140",'BASE DE DATOS'!$C$5,IF($J$25="CAGUA 142",'BASE DE DATOS'!$C$6,IF($J$25="CAGUA 150",'BASE DE DATOS'!$C$7,IF($J$25="CAGUA 160",'BASE DE DATOS'!$C$8,IF($J$25="CAGUA 120",'BASE DE DATOS'!$C$9))))))</f>
        <v>120</v>
      </c>
    </row>
    <row r="28" spans="1:22" ht="15.75" thickBot="1"/>
    <row r="29" spans="1:22" ht="15.75" thickBot="1">
      <c r="I29" s="178" t="s">
        <v>31</v>
      </c>
      <c r="J29" s="179"/>
      <c r="K29" s="179"/>
      <c r="L29" s="179"/>
      <c r="M29" s="180"/>
    </row>
    <row r="30" spans="1:22" ht="43.5" customHeight="1">
      <c r="F30" s="18" t="s">
        <v>23</v>
      </c>
      <c r="G30" s="181" t="s">
        <v>24</v>
      </c>
      <c r="H30" s="181"/>
      <c r="I30" s="19" t="s">
        <v>25</v>
      </c>
      <c r="J30" s="19" t="s">
        <v>26</v>
      </c>
      <c r="K30" s="19" t="s">
        <v>27</v>
      </c>
      <c r="L30" s="182" t="s">
        <v>28</v>
      </c>
      <c r="M30" s="182"/>
      <c r="N30" s="20" t="s">
        <v>29</v>
      </c>
      <c r="O30" s="172" t="s">
        <v>30</v>
      </c>
      <c r="P30" s="173"/>
    </row>
    <row r="31" spans="1:22" ht="15.75" thickBot="1">
      <c r="F31" s="52">
        <f>IF($J$25='BASE DE DATOS'!A4,IF($J$26=3,'BASE DE DATOS'!I3,IF($J$26=2.75,'BASE DE DATOS'!I4,IF($J$26=2.5,'BASE DE DATOS'!I5,IF($J$26=2.25,'BASE DE DATOS'!I6,IF($J$26=2,'BASE DE DATOS'!I7,IF($J$26=1.75,'BASE DE DATOS'!I8)))))),IF($J$25='BASE DE DATOS'!A5,IF($J$26=3,'BASE DE DATOS'!I9,IF($J$26=2.75,'BASE DE DATOS'!I10,IF($J$26=2.5,'BASE DE DATOS'!I11,IF($J$26=2.25,'BASE DE DATOS'!I12,IF($J$26=2,'BASE DE DATOS'!I13,IF($J$26=1.75,'BASE DE DATOS'!I14)))))),IF($J$25='BASE DE DATOS'!A6,IF($J$26=3,'BASE DE DATOS'!I15,IF($J$26=2.75,'BASE DE DATOS'!I16,IF($J$26=2.5,'BASE DE DATOS'!I17,IF($J$26=2.25,'BASE DE DATOS'!I18,IF($J$26=2,'BASE DE DATOS'!I19,IF($J$26=1.75,'BASE DE DATOS'!I20)))))),IF($J$25='BASE DE DATOS'!A7,IF($J$26=3,'BASE DE DATOS'!I21,IF($J$26=2.75,'BASE DE DATOS'!I22,IF($J$26=2.5,'BASE DE DATOS'!I23,IF($J$26=2.25,'BASE DE DATOS'!I24,IF($J$26=2,'BASE DE DATOS'!I25,IF($J$26=1.75,'BASE DE DATOS'!I26)))))),IF($J$25='BASE DE DATOS'!A8,IF($J$26=3,'BASE DE DATOS'!I27,IF($J$26=2.75,'BASE DE DATOS'!I28,IF($J$26=2.5,'BASE DE DATOS'!I29,IF($J$26=2.25,'BASE DE DATOS'!I30,IF($J$26=2,'BASE DE DATOS'!I31,IF($J$26=1.75,'BASE DE DATOS'!I32)))))),IF($J$25='BASE DE DATOS'!A9,IF($J$26=3,'BASE DE DATOS'!I33,IF($J$26=2.75,'BASE DE DATOS'!I34,IF($J$26=2.5,'BASE DE DATOS'!I35,IF($J$26=2.25,'BASE DE DATOS'!I36,IF($J$26=2,'BASE DE DATOS'!I37,IF($J$26=1.75,'BASE DE DATOS'!I38))))))))))))</f>
        <v>21</v>
      </c>
      <c r="G31" s="183">
        <f>IF($J$25='BASE DE DATOS'!A4,IF($J$26=3,'BASE DE DATOS'!J3,IF($J$26=2.75,'BASE DE DATOS'!J4,IF($J$26=2.5,'BASE DE DATOS'!J5,IF($J$26=2.25,'BASE DE DATOS'!J6,IF($J$26=2,'BASE DE DATOS'!J7,IF($J$26=1.75,'BASE DE DATOS'!J8)))))),IF($J$25='BASE DE DATOS'!A5,IF($J$26=3,'BASE DE DATOS'!J9,IF($J$26=2.75,'BASE DE DATOS'!J10,IF($J$26=2.5,'BASE DE DATOS'!J11,IF($J$26=2.25,'BASE DE DATOS'!J12,IF($J$26=2,'BASE DE DATOS'!J13,IF($J$26=1.75,'BASE DE DATOS'!J14)))))),IF($J$25='BASE DE DATOS'!A6,IF($J$26=3,'BASE DE DATOS'!J15,IF($J$26=2.75,'BASE DE DATOS'!J16,IF($J$26=2.5,'BASE DE DATOS'!J17,IF($J$26=2.25,'BASE DE DATOS'!J18,IF($J$26=2,'BASE DE DATOS'!J19,IF($J$26=1.75,'BASE DE DATOS'!J20)))))),IF($J$25='BASE DE DATOS'!A7,IF($J$26=3,'BASE DE DATOS'!J21,IF($J$26=2.75,'BASE DE DATOS'!J22,IF($J$26=2.5,'BASE DE DATOS'!J23,IF($J$26=2.25,'BASE DE DATOS'!J24,IF($J$26=2,'BASE DE DATOS'!J25,IF($J$26=1.75,'BASE DE DATOS'!J26)))))),IF($J$25='BASE DE DATOS'!A8,IF($J$26=3,'BASE DE DATOS'!J27,IF($J$26=2.75,'BASE DE DATOS'!J28,IF($J$26=2.5,'BASE DE DATOS'!J29,IF($J$26=2.25,'BASE DE DATOS'!J30,IF($J$26=2,'BASE DE DATOS'!J31,IF($J$26=1.75,'BASE DE DATOS'!J32)))))),IF($J$25='BASE DE DATOS'!A9,IF($J$26=3,'BASE DE DATOS'!J33,IF($J$26=2.75,'BASE DE DATOS'!J34,IF($J$26=2.5,'BASE DE DATOS'!J35,IF($J$26=2.25,'BASE DE DATOS'!J36,IF($J$26=2,'BASE DE DATOS'!J37,IF($J$26=1.75,'BASE DE DATOS'!J38))))))))))))</f>
        <v>23</v>
      </c>
      <c r="H31" s="183"/>
      <c r="I31" s="53">
        <f>IF($J$25='BASE DE DATOS'!A4,IF($J$26=3,'BASE DE DATOS'!L3,IF($J$26=2.75,'BASE DE DATOS'!L4,IF($J$26=2.5,'BASE DE DATOS'!L5,IF($J$26=2.25,'BASE DE DATOS'!L6,IF($J$26=2,'BASE DE DATOS'!L7,IF($J$26=1.75,'BASE DE DATOS'!L8)))))),IF($J$25='BASE DE DATOS'!A5,IF($J$26=3,'BASE DE DATOS'!L9,IF($J$26=2.75,'BASE DE DATOS'!L10,IF($J$26=2.5,'BASE DE DATOS'!L11,IF($J$26=2.25,'BASE DE DATOS'!L12,IF($J$26=2,'BASE DE DATOS'!L13,IF($J$26=1.75,'BASE DE DATOS'!L14)))))),IF($J$25='BASE DE DATOS'!A6,IF($J$26=3,'BASE DE DATOS'!L15,IF($J$26=2.75,'BASE DE DATOS'!L16,IF($J$26=2.5,'BASE DE DATOS'!L17,IF($J$26=2.25,'BASE DE DATOS'!L18,IF($J$26=2,'BASE DE DATOS'!L19,IF($J$26=1.75,'BASE DE DATOS'!L20)))))),IF($J$25='BASE DE DATOS'!A7,IF($J$26=3,'BASE DE DATOS'!L21,IF($J$26=2.75,'BASE DE DATOS'!L22,IF($J$26=2.5,'BASE DE DATOS'!L23,IF($J$26=2.25,'BASE DE DATOS'!L24,IF($J$26=2,'BASE DE DATOS'!L25,IF($J$26=1.75,'BASE DE DATOS'!L26)))))),IF($J$25='BASE DE DATOS'!A8,IF($J$26=3,'BASE DE DATOS'!L27,IF($J$26=2.75,'BASE DE DATOS'!L28,IF($J$26=2.5,'BASE DE DATOS'!L29,IF($J$26=2.25,'BASE DE DATOS'!L30,IF($J$26=2,'BASE DE DATOS'!L31,IF($J$26=1.75,'BASE DE DATOS'!L32)))))),IF($J$25='BASE DE DATOS'!A9,IF($J$26=3,'BASE DE DATOS'!L33,IF($J$26=2.75,'BASE DE DATOS'!L34,IF($J$26=2.5,'BASE DE DATOS'!L35,IF($J$26=2.25,'BASE DE DATOS'!L36,IF($J$26=2,'BASE DE DATOS'!L37,IF($J$26=1.75,'BASE DE DATOS'!L38))))))))))))</f>
        <v>6.6749999999999998</v>
      </c>
      <c r="J31" s="94">
        <f>IF($J$25='BASE DE DATOS'!A4,IF($J$26=3,'BASE DE DATOS'!M3,IF($J$26=2.75,'BASE DE DATOS'!M4,IF($J$26=2.5,'BASE DE DATOS'!M5,IF($J$26=2.25,'BASE DE DATOS'!M6,IF($J$26=2,'BASE DE DATOS'!M7,IF($J$26=1.75,'BASE DE DATOS'!M8)))))),IF($J$25='BASE DE DATOS'!A5,IF($J$26=3,'BASE DE DATOS'!M9,IF($J$26=2.75,'BASE DE DATOS'!M10,IF($J$26=2.5,'BASE DE DATOS'!M11,IF($J$26=2.25,'BASE DE DATOS'!M12,IF($J$26=2,'BASE DE DATOS'!M13,IF($J$26=1.75,'BASE DE DATOS'!M14)))))),IF($J$25='BASE DE DATOS'!A6,IF($J$26=3,'BASE DE DATOS'!M15,IF($J$26=2.75,'BASE DE DATOS'!M16,IF($J$26=2.5,'BASE DE DATOS'!M17,IF($J$26=2.25,'BASE DE DATOS'!M18,IF($J$26=2,'BASE DE DATOS'!M19,IF($J$26=1.75,'BASE DE DATOS'!M20)))))),IF($J$25='BASE DE DATOS'!A7,IF($J$26=3,'BASE DE DATOS'!M21,IF($J$26=2.75,'BASE DE DATOS'!M22,IF($J$26=2.5,'BASE DE DATOS'!M23,IF($J$26=2.25,'BASE DE DATOS'!M24,IF($J$26=2,'BASE DE DATOS'!M25,IF($J$26=1.75,'BASE DE DATOS'!M26)))))),IF($J$25='BASE DE DATOS'!A8,IF($J$26=3,'BASE DE DATOS'!M27,IF($J$26=2.75,'BASE DE DATOS'!M28,IF($J$26=2.5,'BASE DE DATOS'!M29,IF($J$26=2.25,'BASE DE DATOS'!M30,IF($J$26=2,'BASE DE DATOS'!M31,IF($J$26=1.75,'BASE DE DATOS'!M32)))))),IF($J$25='BASE DE DATOS'!A9,IF($J$26=3,'BASE DE DATOS'!M33,IF($J$26=2.75,'BASE DE DATOS'!M34,IF($J$26=2.5,'BASE DE DATOS'!M35,IF($J$26=2.25,'BASE DE DATOS'!M36,IF($J$26=2,'BASE DE DATOS'!M37,IF($J$26=1.75,'BASE DE DATOS'!M38))))))))))))</f>
        <v>13777106</v>
      </c>
      <c r="K31" s="54">
        <f>IF($J$25='BASE DE DATOS'!A4,IF($J$26=3,'BASE DE DATOS'!N3,IF($J$26=2.75,'BASE DE DATOS'!N4,IF($J$26=2.5,'BASE DE DATOS'!N5,IF($J$26=2.25,'BASE DE DATOS'!N6,IF($J$26=2,'BASE DE DATOS'!N7,IF($J$26=1.75,'BASE DE DATOS'!N8)))))),IF($J$25='BASE DE DATOS'!A5,IF($J$26=3,'BASE DE DATOS'!N9,IF($J$26=2.75,'BASE DE DATOS'!N10,IF($J$26=2.5,'BASE DE DATOS'!N11,IF($J$26=2.25,'BASE DE DATOS'!N12,IF($J$26=2,'BASE DE DATOS'!N13,IF($J$26=1.75,'BASE DE DATOS'!N14)))))),IF($J$25='BASE DE DATOS'!A6,IF($J$26=3,'BASE DE DATOS'!N15,IF($J$26=2.75,'BASE DE DATOS'!N16,IF($J$26=2.5,'BASE DE DATOS'!N17,IF($J$26=2.25,'BASE DE DATOS'!N18,IF($J$26=2,'BASE DE DATOS'!N19,IF($J$26=1.75,'BASE DE DATOS'!N20)))))),IF($J$25='BASE DE DATOS'!A7,IF($J$26=3,'BASE DE DATOS'!N21,IF($J$26=2.75,'BASE DE DATOS'!N22,IF($J$26=2.5,'BASE DE DATOS'!N23,IF($J$26=2.25,'BASE DE DATOS'!N24,IF($J$26=2,'BASE DE DATOS'!N25,IF($J$26=1.75,'BASE DE DATOS'!N26)))))),IF($J$25='BASE DE DATOS'!A8,IF($J$26=3,'BASE DE DATOS'!N27,IF($J$26=2.75,'BASE DE DATOS'!N28,IF($J$26=2.5,'BASE DE DATOS'!N29,IF($J$26=2.25,'BASE DE DATOS'!N30,IF($J$26=2,'BASE DE DATOS'!N31,IF($J$26=1.75,'BASE DE DATOS'!N32)))))),IF($J$25='BASE DE DATOS'!A9,IF($J$26=3,'BASE DE DATOS'!N33,IF($J$26=2.75,'BASE DE DATOS'!N34,IF($J$26=2.5,'BASE DE DATOS'!N35,IF($J$26=2.25,'BASE DE DATOS'!N36,IF($J$26=2,'BASE DE DATOS'!N37,IF($J$26=1.75,'BASE DE DATOS'!N38))))))))))))</f>
        <v>96.05</v>
      </c>
      <c r="L31" s="184">
        <f>IF($J$25='BASE DE DATOS'!A4,IF($J$26=3,'BASE DE DATOS'!O3,IF($J$26=2.75,'BASE DE DATOS'!O4,IF($J$26=2.5,'BASE DE DATOS'!O5,IF($J$26=2.25,'BASE DE DATOS'!O6,IF($J$26=2,'BASE DE DATOS'!O7,IF($J$26=1.75,'BASE DE DATOS'!O8)))))),IF($J$25='BASE DE DATOS'!A5,IF($J$26=3,'BASE DE DATOS'!O9,IF($J$26=2.75,'BASE DE DATOS'!O10,IF($J$26=2.5,'BASE DE DATOS'!O11,IF($J$26=2.25,'BASE DE DATOS'!O12,IF($J$26=2,'BASE DE DATOS'!O13,IF($J$26=1.75,'BASE DE DATOS'!O14)))))),IF($J$25='BASE DE DATOS'!A6,IF($J$26=3,'BASE DE DATOS'!O15,IF($J$26=2.75,'BASE DE DATOS'!O16,IF($J$26=2.5,'BASE DE DATOS'!O17,IF($J$26=2.25,'BASE DE DATOS'!O18,IF($J$26=2,'BASE DE DATOS'!O19,IF($J$26=1.75,'BASE DE DATOS'!O20)))))),IF($J$25='BASE DE DATOS'!A7,IF($J$26=3,'BASE DE DATOS'!O21,IF($J$26=2.75,'BASE DE DATOS'!O22,IF($J$26=2.5,'BASE DE DATOS'!O23,IF($J$26=2.25,'BASE DE DATOS'!O24,IF($J$26=2,'BASE DE DATOS'!O25,IF($J$26=1.75,'BASE DE DATOS'!O26)))))),IF($J$25='BASE DE DATOS'!A8,IF($J$26=3,'BASE DE DATOS'!O27,IF($J$26=2.75,'BASE DE DATOS'!O28,IF($J$26=2.5,'BASE DE DATOS'!O29,IF($J$26=2.25,'BASE DE DATOS'!O30,IF($J$26=2,'BASE DE DATOS'!O31,IF($J$26=1.75,'BASE DE DATOS'!O32)))))),IF($J$25='BASE DE DATOS'!A9,IF($J$26=3,'BASE DE DATOS'!O33,IF($J$26=2.75,'BASE DE DATOS'!O34,IF($J$26=2.5,'BASE DE DATOS'!O35,IF($J$26=2.25,'BASE DE DATOS'!O36,IF($J$26=2,'BASE DE DATOS'!O37,IF($J$26=1.75,'BASE DE DATOS'!O38))))))))))))</f>
        <v>143436</v>
      </c>
      <c r="M31" s="184"/>
      <c r="N31" s="54">
        <f>IF($J$25='BASE DE DATOS'!A4,IF($J$26=3,'BASE DE DATOS'!Q3,IF($J$26=2.75,'BASE DE DATOS'!Q4,IF($J$26=2.5,'BASE DE DATOS'!Q5,IF($J$26=2.25,'BASE DE DATOS'!Q6,IF($J$26=2,'BASE DE DATOS'!Q7,IF($J$26=1.75,'BASE DE DATOS'!Q8)))))),IF($J$25='BASE DE DATOS'!A5,IF($J$26=3,'BASE DE DATOS'!Q9,IF($J$26=2.75,'BASE DE DATOS'!Q10,IF($J$26=2.5,'BASE DE DATOS'!Q11,IF($J$26=2.25,'BASE DE DATOS'!Q12,IF($J$26=2,'BASE DE DATOS'!Q13,IF($J$26=1.75,'BASE DE DATOS'!Q14)))))),IF($J$25='BASE DE DATOS'!A6,IF($J$26=3,'BASE DE DATOS'!Q15,IF($J$26=2.75,'BASE DE DATOS'!Q16,IF($J$26=2.5,'BASE DE DATOS'!Q17,IF($J$26=2.25,'BASE DE DATOS'!Q18,IF($J$26=2,'BASE DE DATOS'!Q19,IF($J$26=1.75,'BASE DE DATOS'!Q20)))))),IF($J$25='BASE DE DATOS'!A7,IF($J$26=3,'BASE DE DATOS'!Q21,IF($J$26=2.75,'BASE DE DATOS'!Q22,IF($J$26=2.5,'BASE DE DATOS'!Q23,IF($J$26=2.25,'BASE DE DATOS'!Q24,IF($J$26=2,'BASE DE DATOS'!Q25,IF($J$26=1.75,'BASE DE DATOS'!Q26)))))),IF($J$25='BASE DE DATOS'!A8,IF($J$26=3,'BASE DE DATOS'!Q27,IF($J$26=2.75,'BASE DE DATOS'!Q28,IF($J$26=2.5,'BASE DE DATOS'!Q29,IF($J$26=2.25,'BASE DE DATOS'!Q30,IF($J$26=2,'BASE DE DATOS'!Q31,IF($J$26=1.75,'BASE DE DATOS'!Q32)))))),IF($J$25='BASE DE DATOS'!A9,IF($J$26=3,'BASE DE DATOS'!Q33,IF($J$26=2.75,'BASE DE DATOS'!Q34,IF($J$26=2.5,'BASE DE DATOS'!Q35,IF($J$26=2.25,'BASE DE DATOS'!Q36,IF($J$26=2,'BASE DE DATOS'!Q37,IF($J$26=1.75,'BASE DE DATOS'!Q38))))))))))))</f>
        <v>840</v>
      </c>
      <c r="O31" s="174">
        <f>IF($J$25='BASE DE DATOS'!A4,IF($J$26=3,'BASE DE DATOS'!R3,IF($J$26=2.75,'BASE DE DATOS'!R4,IF($J$26=2.5,'BASE DE DATOS'!R5,IF($J$26=2.25,'BASE DE DATOS'!R6,IF($J$26=2,'BASE DE DATOS'!R7,IF($J$26=1.75,'BASE DE DATOS'!R8)))))),IF($J$25='BASE DE DATOS'!A5,IF($J$26=3,'BASE DE DATOS'!R9,IF($J$26=2.75,'BASE DE DATOS'!R10,IF($J$26=2.5,'BASE DE DATOS'!R11,IF($J$26=2.25,'BASE DE DATOS'!R12,IF($J$26=2,'BASE DE DATOS'!R13,IF($J$26=1.75,'BASE DE DATOS'!R14)))))),IF($J$25='BASE DE DATOS'!A6,IF($J$26=3,'BASE DE DATOS'!R15,IF($J$26=2.75,'BASE DE DATOS'!R16,IF($J$26=2.5,'BASE DE DATOS'!R17,IF($J$26=2.25,'BASE DE DATOS'!R18,IF($J$26=2,'BASE DE DATOS'!R19,IF($J$26=1.75,'BASE DE DATOS'!R20)))))),IF($J$25='BASE DE DATOS'!A7,IF($J$26=3,'BASE DE DATOS'!R21,IF($J$26=2.75,'BASE DE DATOS'!R22,IF($J$26=2.5,'BASE DE DATOS'!R23,IF($J$26=2.25,'BASE DE DATOS'!R24,IF($J$26=2,'BASE DE DATOS'!R25,IF($J$26=1.75,'BASE DE DATOS'!R26)))))),IF($J$25='BASE DE DATOS'!A8,IF($J$26=3,'BASE DE DATOS'!R27,IF($J$26=2.75,'BASE DE DATOS'!R28,IF($J$26=2.5,'BASE DE DATOS'!R29,IF($J$26=2.25,'BASE DE DATOS'!R30,IF($J$26=2,'BASE DE DATOS'!R31,IF($J$26=1.75,'BASE DE DATOS'!R32)))))),IF($J$25='BASE DE DATOS'!A9,IF($J$26=3,'BASE DE DATOS'!R33,IF($J$26=2.75,'BASE DE DATOS'!R34,IF($J$26=2.5,'BASE DE DATOS'!R35,IF($J$26=2.25,'BASE DE DATOS'!R36,IF($J$26=2,'BASE DE DATOS'!R37,IF($J$26=1.75,'BASE DE DATOS'!R38))))))))))))</f>
        <v>1.1930000000000001</v>
      </c>
      <c r="P31" s="175"/>
    </row>
    <row r="32" spans="1:22">
      <c r="F32" s="15"/>
      <c r="G32" s="2"/>
    </row>
    <row r="33" spans="1:16">
      <c r="F33" s="151" t="s">
        <v>36</v>
      </c>
      <c r="G33" s="151"/>
      <c r="H33" s="151"/>
      <c r="I33" s="151"/>
      <c r="J33" s="151"/>
      <c r="K33" s="56">
        <v>5</v>
      </c>
      <c r="L33" s="149" t="s">
        <v>35</v>
      </c>
      <c r="M33" s="149"/>
      <c r="N33" s="149"/>
      <c r="O33" s="163">
        <v>2400</v>
      </c>
      <c r="P33" s="163"/>
    </row>
    <row r="34" spans="1:16">
      <c r="F34" s="151" t="s">
        <v>38</v>
      </c>
      <c r="G34" s="151"/>
      <c r="H34" s="151"/>
      <c r="I34" s="55">
        <f>($H$20-$N$24)/ROUND(($H$20/$J$26),0)</f>
        <v>2.02</v>
      </c>
      <c r="J34" s="145" t="s">
        <v>40</v>
      </c>
      <c r="K34" s="145"/>
      <c r="L34" s="150">
        <f>0.1+$I$34/30</f>
        <v>0.17</v>
      </c>
      <c r="M34" s="150"/>
    </row>
    <row r="35" spans="1:16">
      <c r="F35" s="151" t="s">
        <v>52</v>
      </c>
      <c r="G35" s="151"/>
      <c r="H35" s="151"/>
      <c r="I35" s="55">
        <f>ROUND(($H$20/$J$26),0)</f>
        <v>9</v>
      </c>
      <c r="J35" s="145" t="s">
        <v>41</v>
      </c>
      <c r="K35" s="145"/>
      <c r="L35" s="150">
        <f>IF($L$34&gt;0.18,$L$34,0.18)</f>
        <v>0.18</v>
      </c>
      <c r="M35" s="150"/>
    </row>
    <row r="36" spans="1:16">
      <c r="F36" s="15"/>
      <c r="G36" s="2"/>
    </row>
    <row r="37" spans="1:16">
      <c r="A37" s="144" t="s">
        <v>42</v>
      </c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6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16">
      <c r="A39" s="145" t="s">
        <v>55</v>
      </c>
      <c r="B39" s="145"/>
      <c r="C39" s="145"/>
      <c r="D39" s="145"/>
      <c r="G39" s="7"/>
      <c r="H39" s="7"/>
    </row>
    <row r="40" spans="1:16" ht="15.75">
      <c r="A40" s="185" t="s">
        <v>43</v>
      </c>
      <c r="B40" s="185"/>
      <c r="C40" s="185"/>
      <c r="D40" s="185"/>
      <c r="E40" s="185"/>
      <c r="F40" s="185"/>
      <c r="G40" s="165">
        <f>$L$35*$I$34*2500</f>
        <v>909</v>
      </c>
      <c r="H40" s="165"/>
      <c r="I40" s="65" t="s">
        <v>47</v>
      </c>
      <c r="J40" s="63" t="s">
        <v>49</v>
      </c>
      <c r="K40" s="140">
        <f>$G$40*($J$23)^2/8</f>
        <v>556762.5</v>
      </c>
      <c r="L40" s="140"/>
    </row>
    <row r="41" spans="1:16" ht="15.75">
      <c r="A41" s="185" t="s">
        <v>44</v>
      </c>
      <c r="B41" s="185"/>
      <c r="C41" s="185"/>
      <c r="D41" s="186" t="str">
        <f>$J$25</f>
        <v>CAGUA 120</v>
      </c>
      <c r="E41" s="186"/>
      <c r="F41" s="67" t="s">
        <v>45</v>
      </c>
      <c r="G41" s="165">
        <f>$N$25</f>
        <v>753</v>
      </c>
      <c r="H41" s="165"/>
      <c r="I41" s="65" t="s">
        <v>47</v>
      </c>
      <c r="J41" s="63" t="s">
        <v>48</v>
      </c>
      <c r="K41" s="140">
        <f>$G$41*($J$23)^2/8</f>
        <v>461212.5</v>
      </c>
      <c r="L41" s="140"/>
    </row>
    <row r="42" spans="1:16">
      <c r="A42" s="157" t="s">
        <v>50</v>
      </c>
      <c r="B42" s="157"/>
      <c r="C42" s="157"/>
      <c r="D42" s="157"/>
      <c r="E42" s="157"/>
      <c r="F42" s="157"/>
      <c r="G42" s="150">
        <f>$K$33/100*$I$34*$O$33</f>
        <v>242.4</v>
      </c>
      <c r="H42" s="150"/>
      <c r="I42" s="65" t="s">
        <v>47</v>
      </c>
      <c r="J42" s="63" t="s">
        <v>51</v>
      </c>
      <c r="K42" s="140">
        <f>$G$42*($J$23)^2/8</f>
        <v>148470</v>
      </c>
      <c r="L42" s="140"/>
    </row>
    <row r="43" spans="1:16" ht="15.75" thickBot="1">
      <c r="A43" s="157" t="s">
        <v>53</v>
      </c>
      <c r="B43" s="157"/>
      <c r="C43" s="157"/>
      <c r="D43" s="157"/>
      <c r="E43" s="157"/>
      <c r="F43" s="157"/>
      <c r="G43" s="150">
        <f>770*2/$I$35</f>
        <v>171.11</v>
      </c>
      <c r="H43" s="150"/>
      <c r="I43" s="65" t="s">
        <v>47</v>
      </c>
      <c r="J43" s="63" t="s">
        <v>54</v>
      </c>
      <c r="K43" s="140">
        <f>$G$43*($J$23)^2/8</f>
        <v>104804.88</v>
      </c>
      <c r="L43" s="140"/>
    </row>
    <row r="44" spans="1:16" ht="15.75" thickBot="1">
      <c r="A44" s="66"/>
      <c r="J44" s="95" t="s">
        <v>97</v>
      </c>
      <c r="K44" s="146">
        <f>SUM(K40:L43)</f>
        <v>1271249.8799999999</v>
      </c>
      <c r="L44" s="147"/>
    </row>
    <row r="45" spans="1:16">
      <c r="A45" s="145" t="s">
        <v>56</v>
      </c>
      <c r="B45" s="145"/>
      <c r="C45" s="145"/>
      <c r="D45" s="145"/>
    </row>
    <row r="46" spans="1:16">
      <c r="A46" s="142" t="s">
        <v>60</v>
      </c>
      <c r="B46" s="142"/>
      <c r="C46" s="142"/>
      <c r="D46" s="142"/>
      <c r="E46" s="72" t="s">
        <v>58</v>
      </c>
      <c r="F46" s="156" t="s">
        <v>77</v>
      </c>
      <c r="G46" s="156"/>
      <c r="H46" s="156"/>
      <c r="I46" s="156"/>
      <c r="J46" s="156"/>
      <c r="K46" s="154">
        <f>IF($E$46="HS-20",2.25*'BASE DE DATOS'!$U$4/'TABLERO PRETENSADO'!$J$23*('TABLERO PRETENSADO'!$J$23/2+0.71)^2-4.27*'BASE DE DATOS'!$U$4,IF($E$46="HS-20+20%",1.2*((2.25*'BASE DE DATOS'!$U$5)/('TABLERO PRETENSADO'!$J$23)*('TABLERO PRETENSADO'!$J$23/2+0.71)^2-4.27*'BASE DE DATOS'!$U$5),IF($E$46="HL-93",(2.25*'BASE DE DATOS'!$U$6)/'TABLERO PRETENSADO'!$J$23*('TABLERO PRETENSADO'!$J$23/2+0.71)^2-4.27*('BASE DE DATOS'!$U$6))))</f>
        <v>319805.21999999997</v>
      </c>
      <c r="L46" s="154"/>
    </row>
    <row r="47" spans="1:16">
      <c r="C47" s="142" t="s">
        <v>61</v>
      </c>
      <c r="D47" s="142"/>
      <c r="E47" s="142"/>
      <c r="F47" s="156" t="s">
        <v>77</v>
      </c>
      <c r="G47" s="156"/>
      <c r="H47" s="156"/>
      <c r="I47" s="156"/>
      <c r="J47" s="156"/>
      <c r="K47" s="155">
        <f>15.24/(38.1+$J$23)</f>
        <v>0.14099999999999999</v>
      </c>
      <c r="L47" s="155"/>
    </row>
    <row r="48" spans="1:16" ht="15.75" thickBot="1">
      <c r="C48" s="142" t="s">
        <v>83</v>
      </c>
      <c r="D48" s="142"/>
      <c r="E48" s="142"/>
      <c r="F48" s="156" t="s">
        <v>77</v>
      </c>
      <c r="G48" s="156"/>
      <c r="H48" s="156"/>
      <c r="I48" s="156"/>
      <c r="J48" s="156"/>
      <c r="K48" s="154">
        <f>$I$34/1.676</f>
        <v>1.21</v>
      </c>
      <c r="L48" s="154"/>
    </row>
    <row r="49" spans="1:16" ht="15.75" thickBot="1">
      <c r="I49" s="65"/>
      <c r="J49" s="95" t="s">
        <v>62</v>
      </c>
      <c r="K49" s="146">
        <f>$K$46*(1+$K$47)*$K$48</f>
        <v>441526.28</v>
      </c>
      <c r="L49" s="147"/>
    </row>
    <row r="51" spans="1:16">
      <c r="A51" s="144" t="s">
        <v>63</v>
      </c>
      <c r="B51" s="144"/>
      <c r="C51" s="144"/>
      <c r="D51" s="144"/>
      <c r="J51" s="144" t="s">
        <v>72</v>
      </c>
      <c r="K51" s="144"/>
      <c r="L51" s="144"/>
      <c r="M51" s="144"/>
      <c r="N51" s="144"/>
      <c r="O51" s="84"/>
      <c r="P51" s="84"/>
    </row>
    <row r="52" spans="1:16">
      <c r="A52" s="157" t="s">
        <v>64</v>
      </c>
      <c r="B52" s="157"/>
      <c r="C52" s="157"/>
      <c r="D52" s="157"/>
      <c r="E52" s="69">
        <v>350</v>
      </c>
      <c r="F52" s="68"/>
      <c r="G52" s="68"/>
      <c r="H52" s="68"/>
      <c r="J52" s="142" t="s">
        <v>84</v>
      </c>
      <c r="K52" s="142"/>
      <c r="L52" s="142"/>
    </row>
    <row r="53" spans="1:16">
      <c r="A53" s="157" t="s">
        <v>78</v>
      </c>
      <c r="B53" s="157"/>
      <c r="C53" s="157"/>
      <c r="D53" s="157"/>
      <c r="E53" s="77">
        <v>280</v>
      </c>
      <c r="F53" s="79"/>
      <c r="G53" s="79"/>
      <c r="H53" s="79"/>
      <c r="J53" s="142" t="s">
        <v>73</v>
      </c>
      <c r="K53" s="142"/>
      <c r="L53" s="140">
        <f>IF($F$55="PRETENSADO",0.6*$E$53,0.55*$E$53)</f>
        <v>168</v>
      </c>
      <c r="M53" s="140"/>
    </row>
    <row r="54" spans="1:16">
      <c r="A54" s="157" t="s">
        <v>71</v>
      </c>
      <c r="B54" s="157"/>
      <c r="C54" s="157"/>
      <c r="D54" s="157"/>
      <c r="E54" s="157"/>
      <c r="F54" s="187" t="s">
        <v>66</v>
      </c>
      <c r="G54" s="187"/>
      <c r="H54" s="187"/>
      <c r="J54" s="142" t="s">
        <v>74</v>
      </c>
      <c r="K54" s="142"/>
      <c r="L54" s="140">
        <f>MAX(14,0.8*SQRT($E$53))</f>
        <v>14</v>
      </c>
      <c r="M54" s="140"/>
    </row>
    <row r="55" spans="1:16">
      <c r="A55" s="157" t="s">
        <v>70</v>
      </c>
      <c r="B55" s="157"/>
      <c r="C55" s="157"/>
      <c r="D55" s="157"/>
      <c r="E55" s="157"/>
      <c r="F55" s="187" t="s">
        <v>68</v>
      </c>
      <c r="G55" s="187"/>
      <c r="H55" s="187"/>
    </row>
    <row r="56" spans="1:16">
      <c r="A56" s="79"/>
      <c r="B56" s="79"/>
      <c r="C56" s="79"/>
      <c r="D56" s="79"/>
      <c r="E56" s="79"/>
      <c r="F56" s="83"/>
      <c r="G56" s="83"/>
      <c r="H56" s="83"/>
      <c r="J56" s="142" t="s">
        <v>86</v>
      </c>
      <c r="K56" s="142"/>
      <c r="L56" s="142"/>
    </row>
    <row r="57" spans="1:16">
      <c r="J57" s="142" t="s">
        <v>85</v>
      </c>
      <c r="K57" s="142"/>
      <c r="L57" s="140">
        <f>0.4*$E$52</f>
        <v>140</v>
      </c>
      <c r="M57" s="140"/>
    </row>
    <row r="58" spans="1:16">
      <c r="J58" s="142" t="s">
        <v>74</v>
      </c>
      <c r="K58" s="142"/>
      <c r="L58" s="140">
        <f>IF($F$54="NO AGRESIVO",1.6*SQRT($E$52),IF($F$54="AGRESIVOS",0.8*SQRT($E$52),0))</f>
        <v>29.93</v>
      </c>
      <c r="M58" s="140"/>
    </row>
    <row r="59" spans="1:16">
      <c r="J59" s="74"/>
      <c r="K59" s="74"/>
      <c r="L59" s="73"/>
      <c r="M59" s="73"/>
    </row>
    <row r="60" spans="1:16">
      <c r="A60" s="84" t="s">
        <v>79</v>
      </c>
      <c r="B60" s="84"/>
      <c r="C60" s="84"/>
      <c r="D60" s="84"/>
      <c r="H60" s="145" t="s">
        <v>80</v>
      </c>
      <c r="I60" s="145"/>
      <c r="J60" s="145"/>
      <c r="K60" s="145"/>
      <c r="L60" s="84"/>
      <c r="M60" s="84"/>
    </row>
    <row r="62" spans="1:16" ht="15.75">
      <c r="A62" s="142" t="s">
        <v>93</v>
      </c>
      <c r="B62" s="142"/>
      <c r="C62" s="78">
        <f>$N$27-$K$31</f>
        <v>23.95</v>
      </c>
      <c r="D62" t="s">
        <v>94</v>
      </c>
      <c r="E62" s="78">
        <f>$K$31</f>
        <v>96.05</v>
      </c>
      <c r="H62" s="97" t="s">
        <v>95</v>
      </c>
      <c r="I62" s="78">
        <f>($K$42+$K$43+$K$49)*100/$C$63</f>
        <v>120.78</v>
      </c>
      <c r="K62" t="s">
        <v>99</v>
      </c>
      <c r="L62" s="140">
        <f>($K$41+$K$40-$I$64*$K$41)*100/($L$57+$I$64*$L$54-$I$62)</f>
        <v>2133481.2599999998</v>
      </c>
      <c r="M62" s="140"/>
    </row>
    <row r="63" spans="1:16" ht="15.75">
      <c r="A63" s="142" t="s">
        <v>87</v>
      </c>
      <c r="B63" s="142"/>
      <c r="C63" s="75">
        <f>$J$31/$C$62</f>
        <v>575244.51</v>
      </c>
      <c r="D63" t="s">
        <v>90</v>
      </c>
      <c r="E63" s="75">
        <f>$J$31/$E$62</f>
        <v>143436.81</v>
      </c>
      <c r="H63" s="97" t="s">
        <v>96</v>
      </c>
      <c r="I63" s="78">
        <f>($K$42+$K$43+$K$49)*100/$L$31</f>
        <v>484.4</v>
      </c>
      <c r="K63" t="s">
        <v>101</v>
      </c>
      <c r="L63" s="140">
        <f>($K$41+$K$40-$I$64*$K$41)*100/($L$58+$I$64*$L$53-$I$63)</f>
        <v>-202769.71</v>
      </c>
      <c r="M63" s="140"/>
    </row>
    <row r="64" spans="1:16" ht="15.75">
      <c r="A64" s="74" t="s">
        <v>88</v>
      </c>
      <c r="B64" s="74"/>
      <c r="C64" s="75">
        <f>$C$63/$N$26</f>
        <v>187071.39</v>
      </c>
      <c r="D64" t="s">
        <v>91</v>
      </c>
      <c r="E64" s="75">
        <f>$E$63/$N$26</f>
        <v>46646.12</v>
      </c>
      <c r="F64" s="85"/>
      <c r="H64" s="96" t="s">
        <v>100</v>
      </c>
      <c r="I64" s="78">
        <v>0.8</v>
      </c>
    </row>
    <row r="65" spans="5:12" ht="15.75">
      <c r="F65" s="85"/>
    </row>
    <row r="66" spans="5:12" ht="15.75">
      <c r="E66" s="85"/>
      <c r="G66" s="139" t="str">
        <f>$D$41</f>
        <v>CAGUA 120</v>
      </c>
      <c r="H66" s="139"/>
    </row>
    <row r="67" spans="5:12" ht="15.75">
      <c r="F67" s="98" t="s">
        <v>87</v>
      </c>
      <c r="G67" s="140">
        <f>IF($G$66="CAGUA 120",'BASE DE DATOS'!$E$4,IF($G$66="CAGUA 140",'BASE DE DATOS'!$E$5,IF($G$66="CAGUA 142",'BASE DE DATOS'!$E$6,IF($G$6="CAGUA 150",'BASE DE DATOS'!$E$7,IF($G$66="CAGUA 160",'BASE DE DATOS'!$E$8,IF($G$66="CAGUA 180",'BASE DE DATOS'!$E$9))))))</f>
        <v>83128</v>
      </c>
      <c r="H67" s="140"/>
      <c r="I67" s="101" t="str">
        <f>IF($G$67&gt;=$J$67,"≥","≤")</f>
        <v>≤</v>
      </c>
      <c r="J67" s="102">
        <f>$L$62</f>
        <v>2133481.2599999998</v>
      </c>
      <c r="K67" s="141" t="str">
        <f>IF(G67&gt;=J67,"OK!!!","REDIMENSIONAR")</f>
        <v>REDIMENSIONAR</v>
      </c>
      <c r="L67" s="141"/>
    </row>
    <row r="68" spans="5:12" ht="15.75">
      <c r="F68" s="98" t="s">
        <v>90</v>
      </c>
      <c r="G68" s="140">
        <f>IF($G$66="CAGUA 120",'BASE DE DATOS'!$D$4,IF($G$66="CAGUA 140",'BASE DE DATOS'!$D$5,IF($G$66="CAGUA 142",'BASE DE DATOS'!$D$6,IF($G$6="CAGUA 150",'BASE DE DATOS'!$D$7,IF($G$66="CAGUA 160",'BASE DE DATOS'!$D$8,IF($G$66="CAGUA 180",'BASE DE DATOS'!$D$9))))))</f>
        <v>90417</v>
      </c>
      <c r="H68" s="140"/>
      <c r="I68" s="101" t="str">
        <f>IF($G$68&gt;=$J$68,"≥","≤")</f>
        <v>≥</v>
      </c>
      <c r="J68" s="102">
        <f>$L$63</f>
        <v>-202769.71</v>
      </c>
      <c r="K68" s="141" t="str">
        <f>IF(G68&gt;=J68,"OK!!!","REDIMENSIONAR")</f>
        <v>OK!!!</v>
      </c>
      <c r="L68" s="141"/>
    </row>
  </sheetData>
  <mergeCells count="107">
    <mergeCell ref="D41:E41"/>
    <mergeCell ref="K40:L40"/>
    <mergeCell ref="F54:H54"/>
    <mergeCell ref="A54:E54"/>
    <mergeCell ref="J54:K54"/>
    <mergeCell ref="L54:M54"/>
    <mergeCell ref="F55:H55"/>
    <mergeCell ref="A51:D51"/>
    <mergeCell ref="A52:D52"/>
    <mergeCell ref="A55:E55"/>
    <mergeCell ref="A53:D53"/>
    <mergeCell ref="Q6:R6"/>
    <mergeCell ref="L6:M6"/>
    <mergeCell ref="D6:E6"/>
    <mergeCell ref="H6:I7"/>
    <mergeCell ref="N9:N10"/>
    <mergeCell ref="O7:P7"/>
    <mergeCell ref="O33:P33"/>
    <mergeCell ref="A4:J4"/>
    <mergeCell ref="G23:I23"/>
    <mergeCell ref="L25:M25"/>
    <mergeCell ref="F33:J33"/>
    <mergeCell ref="H20:I20"/>
    <mergeCell ref="E18:G18"/>
    <mergeCell ref="H18:I18"/>
    <mergeCell ref="E12:F12"/>
    <mergeCell ref="E13:F13"/>
    <mergeCell ref="J12:K12"/>
    <mergeCell ref="J13:K13"/>
    <mergeCell ref="J18:L18"/>
    <mergeCell ref="H16:I16"/>
    <mergeCell ref="O30:P30"/>
    <mergeCell ref="O31:P31"/>
    <mergeCell ref="B20:G20"/>
    <mergeCell ref="J20:O20"/>
    <mergeCell ref="A43:F43"/>
    <mergeCell ref="G43:H43"/>
    <mergeCell ref="K43:L43"/>
    <mergeCell ref="K44:L44"/>
    <mergeCell ref="K41:L41"/>
    <mergeCell ref="F2:P2"/>
    <mergeCell ref="E10:F10"/>
    <mergeCell ref="E11:F11"/>
    <mergeCell ref="J10:K10"/>
    <mergeCell ref="J11:K11"/>
    <mergeCell ref="H8:I8"/>
    <mergeCell ref="I29:M29"/>
    <mergeCell ref="G30:H30"/>
    <mergeCell ref="L30:M30"/>
    <mergeCell ref="G31:H31"/>
    <mergeCell ref="L31:M31"/>
    <mergeCell ref="A22:J22"/>
    <mergeCell ref="A42:F42"/>
    <mergeCell ref="G42:H42"/>
    <mergeCell ref="K42:L42"/>
    <mergeCell ref="G40:H40"/>
    <mergeCell ref="A40:F40"/>
    <mergeCell ref="G41:H41"/>
    <mergeCell ref="A41:C41"/>
    <mergeCell ref="K46:L46"/>
    <mergeCell ref="C47:E47"/>
    <mergeCell ref="K47:L47"/>
    <mergeCell ref="C48:E48"/>
    <mergeCell ref="K48:L48"/>
    <mergeCell ref="F46:J46"/>
    <mergeCell ref="F47:J47"/>
    <mergeCell ref="F48:J48"/>
    <mergeCell ref="A45:D45"/>
    <mergeCell ref="A7:B7"/>
    <mergeCell ref="L33:N33"/>
    <mergeCell ref="L34:M34"/>
    <mergeCell ref="J35:K35"/>
    <mergeCell ref="L35:M35"/>
    <mergeCell ref="A37:J37"/>
    <mergeCell ref="A39:D39"/>
    <mergeCell ref="F34:H34"/>
    <mergeCell ref="J34:K34"/>
    <mergeCell ref="F35:H35"/>
    <mergeCell ref="G25:I25"/>
    <mergeCell ref="J25:K25"/>
    <mergeCell ref="G26:I26"/>
    <mergeCell ref="J26:K26"/>
    <mergeCell ref="C9:C10"/>
    <mergeCell ref="G66:H66"/>
    <mergeCell ref="G67:H67"/>
    <mergeCell ref="G68:H68"/>
    <mergeCell ref="K67:L67"/>
    <mergeCell ref="K68:L68"/>
    <mergeCell ref="A63:B63"/>
    <mergeCell ref="L26:M26"/>
    <mergeCell ref="L24:M24"/>
    <mergeCell ref="L27:M27"/>
    <mergeCell ref="A62:B62"/>
    <mergeCell ref="J51:N51"/>
    <mergeCell ref="H60:K60"/>
    <mergeCell ref="L62:M62"/>
    <mergeCell ref="L63:M63"/>
    <mergeCell ref="L53:M53"/>
    <mergeCell ref="J53:K53"/>
    <mergeCell ref="J52:L52"/>
    <mergeCell ref="J56:L56"/>
    <mergeCell ref="J57:K57"/>
    <mergeCell ref="L57:M57"/>
    <mergeCell ref="J58:K58"/>
    <mergeCell ref="L58:M58"/>
    <mergeCell ref="K49:L49"/>
    <mergeCell ref="A46:D46"/>
  </mergeCells>
  <dataValidations count="6">
    <dataValidation type="list" allowBlank="1" showInputMessage="1" showErrorMessage="1" sqref="F55:F56">
      <formula1>'BASE DE DATOS'!$Z$4:$Z$9</formula1>
    </dataValidation>
    <dataValidation type="list" allowBlank="1" showInputMessage="1" showErrorMessage="1" sqref="F54">
      <formula1>'BASE DE DATOS'!$W$4:$W$9</formula1>
    </dataValidation>
    <dataValidation type="list" allowBlank="1" showInputMessage="1" showErrorMessage="1" sqref="E46">
      <formula1>'BASE DE DATOS'!$T$4:$T$9</formula1>
    </dataValidation>
    <dataValidation type="list" allowBlank="1" showInputMessage="1" showErrorMessage="1" sqref="J25:K25">
      <formula1>'BASE DE DATOS'!$A$4:$A$9</formula1>
    </dataValidation>
    <dataValidation type="list" allowBlank="1" showInputMessage="1" showErrorMessage="1" sqref="J26:K26">
      <formula1>'BASE DE DATOS'!$B$4:$B$9</formula1>
    </dataValidation>
    <dataValidation type="list" allowBlank="1" showInputMessage="1" showErrorMessage="1" sqref="N42:O42">
      <formula1>$U$42:$U$44</formula1>
    </dataValidation>
  </dataValidations>
  <pageMargins left="0.39370078740157483" right="0.39370078740157483" top="0.39370078740157483" bottom="0.3937007874015748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topLeftCell="A25" zoomScaleNormal="100" workbookViewId="0">
      <selection activeCell="J24" sqref="J24"/>
    </sheetView>
  </sheetViews>
  <sheetFormatPr baseColWidth="10" defaultRowHeight="15"/>
  <cols>
    <col min="1" max="1" width="4.7109375" customWidth="1"/>
    <col min="2" max="2" width="1.7109375" customWidth="1"/>
    <col min="4" max="4" width="5.7109375" customWidth="1"/>
    <col min="6" max="6" width="12.42578125" bestFit="1" customWidth="1"/>
    <col min="7" max="7" width="5.7109375" customWidth="1"/>
    <col min="8" max="9" width="7.7109375" customWidth="1"/>
    <col min="10" max="10" width="13.28515625" bestFit="1" customWidth="1"/>
    <col min="12" max="13" width="5.7109375" customWidth="1"/>
    <col min="15" max="15" width="1.7109375" customWidth="1"/>
    <col min="17" max="17" width="4.7109375" customWidth="1"/>
  </cols>
  <sheetData>
    <row r="1" spans="1:20">
      <c r="A1" t="s">
        <v>0</v>
      </c>
    </row>
    <row r="2" spans="1:20" ht="21">
      <c r="A2" t="s">
        <v>1</v>
      </c>
      <c r="F2" s="158" t="s">
        <v>2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4" spans="1:20">
      <c r="A4" s="145" t="s">
        <v>6</v>
      </c>
      <c r="B4" s="145"/>
      <c r="C4" s="145"/>
      <c r="D4" s="145"/>
      <c r="E4" s="145"/>
      <c r="F4" s="145"/>
      <c r="G4" s="145"/>
      <c r="H4" s="145"/>
      <c r="I4" s="145"/>
      <c r="J4" s="145"/>
    </row>
    <row r="6" spans="1:20">
      <c r="A6" s="7" t="s">
        <v>10</v>
      </c>
      <c r="B6" s="7"/>
      <c r="D6" s="161" t="s">
        <v>32</v>
      </c>
      <c r="E6" s="161"/>
      <c r="H6" s="153" t="s">
        <v>7</v>
      </c>
      <c r="I6" s="153"/>
      <c r="L6" s="142" t="s">
        <v>32</v>
      </c>
      <c r="M6" s="142"/>
      <c r="O6" s="7" t="s">
        <v>10</v>
      </c>
      <c r="Q6" s="142"/>
      <c r="R6" s="142"/>
      <c r="S6" s="104"/>
      <c r="T6" s="5"/>
    </row>
    <row r="7" spans="1:20">
      <c r="A7" s="148">
        <v>0</v>
      </c>
      <c r="B7" s="148"/>
      <c r="D7" s="109">
        <v>0.5</v>
      </c>
      <c r="E7" s="4"/>
      <c r="G7" s="7"/>
      <c r="H7" s="153"/>
      <c r="I7" s="153"/>
      <c r="J7" s="7"/>
      <c r="M7" s="109">
        <v>0.5</v>
      </c>
      <c r="O7" s="162">
        <v>0.2</v>
      </c>
      <c r="P7" s="162"/>
    </row>
    <row r="8" spans="1:20">
      <c r="H8" s="160">
        <v>2</v>
      </c>
      <c r="I8" s="160"/>
    </row>
    <row r="9" spans="1:20">
      <c r="C9" s="153" t="s">
        <v>5</v>
      </c>
      <c r="I9" s="3"/>
      <c r="J9" s="2"/>
      <c r="K9" s="2"/>
      <c r="N9" s="153" t="s">
        <v>5</v>
      </c>
      <c r="O9" s="110"/>
    </row>
    <row r="10" spans="1:20">
      <c r="A10" s="7"/>
      <c r="B10" s="7"/>
      <c r="C10" s="153"/>
      <c r="D10" s="104"/>
      <c r="E10" s="142" t="s">
        <v>3</v>
      </c>
      <c r="F10" s="142"/>
      <c r="G10" s="109">
        <v>2</v>
      </c>
      <c r="H10" s="5"/>
      <c r="I10" s="6"/>
      <c r="J10" s="159" t="s">
        <v>3</v>
      </c>
      <c r="K10" s="159"/>
      <c r="L10" s="109">
        <v>1</v>
      </c>
      <c r="M10" s="5"/>
      <c r="N10" s="153"/>
      <c r="O10" s="110"/>
      <c r="P10" s="7"/>
    </row>
    <row r="11" spans="1:20">
      <c r="C11" s="109">
        <v>0</v>
      </c>
      <c r="D11" s="5"/>
      <c r="E11" s="142" t="s">
        <v>4</v>
      </c>
      <c r="F11" s="142"/>
      <c r="G11" s="109">
        <v>3.3</v>
      </c>
      <c r="H11" s="5"/>
      <c r="I11" s="6"/>
      <c r="J11" s="159" t="s">
        <v>4</v>
      </c>
      <c r="K11" s="159"/>
      <c r="L11" s="109">
        <v>3.3</v>
      </c>
      <c r="M11" s="5"/>
      <c r="N11" s="109">
        <v>1.2</v>
      </c>
      <c r="O11" s="109"/>
    </row>
    <row r="12" spans="1:20">
      <c r="E12" s="142" t="s">
        <v>8</v>
      </c>
      <c r="F12" s="142"/>
      <c r="G12" s="109">
        <v>1</v>
      </c>
      <c r="I12" s="3"/>
      <c r="J12" s="142" t="s">
        <v>8</v>
      </c>
      <c r="K12" s="142"/>
      <c r="L12" s="109">
        <v>1</v>
      </c>
      <c r="M12" s="5"/>
      <c r="N12" s="109"/>
      <c r="O12" s="109"/>
    </row>
    <row r="13" spans="1:20" ht="15.75" thickBot="1">
      <c r="E13" s="142" t="s">
        <v>9</v>
      </c>
      <c r="F13" s="142"/>
      <c r="G13" s="109">
        <v>2</v>
      </c>
      <c r="I13" s="3"/>
      <c r="J13" s="142" t="s">
        <v>9</v>
      </c>
      <c r="K13" s="142"/>
      <c r="L13" s="109">
        <v>2</v>
      </c>
      <c r="M13" s="5"/>
      <c r="N13" s="109"/>
      <c r="O13" s="109"/>
      <c r="P13" s="70"/>
      <c r="Q13" s="2"/>
    </row>
    <row r="14" spans="1:20" ht="15.75" thickBot="1">
      <c r="B14" s="8"/>
      <c r="D14" s="8"/>
      <c r="I14" s="3"/>
      <c r="J14" s="2"/>
      <c r="M14" s="8"/>
      <c r="N14" s="109"/>
      <c r="O14" s="58"/>
      <c r="P14" s="70"/>
      <c r="Q14" s="2"/>
    </row>
    <row r="15" spans="1:20" ht="15.75" thickBot="1">
      <c r="B15" s="59"/>
      <c r="C15" s="2"/>
      <c r="D15" s="9"/>
      <c r="E15" s="2"/>
      <c r="F15" s="2"/>
      <c r="G15" s="2"/>
      <c r="H15" s="2"/>
      <c r="I15" s="3"/>
      <c r="J15" s="2"/>
      <c r="K15" s="2"/>
      <c r="L15" s="2"/>
      <c r="M15" s="9"/>
      <c r="N15" s="2"/>
      <c r="O15" s="59"/>
      <c r="P15" s="114"/>
      <c r="Q15" s="2"/>
    </row>
    <row r="16" spans="1:20" ht="15.75" thickBot="1">
      <c r="B16" s="60"/>
      <c r="C16" s="57"/>
      <c r="D16" s="10"/>
      <c r="E16" s="11"/>
      <c r="F16" s="11"/>
      <c r="G16" s="11"/>
      <c r="H16" s="170"/>
      <c r="I16" s="171"/>
      <c r="J16" s="11"/>
      <c r="K16" s="11"/>
      <c r="L16" s="11"/>
      <c r="M16" s="10"/>
      <c r="N16" s="57"/>
      <c r="O16" s="61"/>
      <c r="P16" s="109"/>
    </row>
    <row r="17" spans="1:22">
      <c r="H17" s="2"/>
      <c r="I17" s="2"/>
      <c r="J17" s="2"/>
    </row>
    <row r="18" spans="1:22">
      <c r="C18" s="13">
        <f>$C$11</f>
        <v>0</v>
      </c>
      <c r="D18" s="111">
        <f>$D$7</f>
        <v>0.5</v>
      </c>
      <c r="E18" s="164">
        <f>$G$10*$G$11+$G$12*$G$13</f>
        <v>8.6</v>
      </c>
      <c r="F18" s="165"/>
      <c r="G18" s="166"/>
      <c r="H18" s="167">
        <f>$H$8</f>
        <v>2</v>
      </c>
      <c r="I18" s="168"/>
      <c r="J18" s="164">
        <f>$L$10*$L$11+$L$12*$L$13</f>
        <v>5.3</v>
      </c>
      <c r="K18" s="169"/>
      <c r="L18" s="166"/>
      <c r="M18" s="113">
        <f>$M$7</f>
        <v>0.5</v>
      </c>
      <c r="N18" s="13">
        <f>$N$11</f>
        <v>1.2</v>
      </c>
      <c r="O18" s="114"/>
      <c r="T18" s="17"/>
      <c r="U18" s="17"/>
    </row>
    <row r="19" spans="1:22">
      <c r="T19" s="7"/>
      <c r="U19" s="7"/>
      <c r="V19" s="7"/>
    </row>
    <row r="20" spans="1:22">
      <c r="B20" s="176" t="s">
        <v>34</v>
      </c>
      <c r="C20" s="159"/>
      <c r="D20" s="159"/>
      <c r="E20" s="159"/>
      <c r="F20" s="159"/>
      <c r="G20" s="159"/>
      <c r="H20" s="150">
        <f>($C$18+$E$18+$H$18+$J$18+$N$18+$D$18+$M$18+$A$7+$O$7)</f>
        <v>18.3</v>
      </c>
      <c r="I20" s="141"/>
      <c r="J20" s="142" t="s">
        <v>33</v>
      </c>
      <c r="K20" s="142"/>
      <c r="L20" s="142"/>
      <c r="M20" s="142"/>
      <c r="N20" s="142"/>
      <c r="O20" s="177"/>
      <c r="T20" s="7"/>
      <c r="U20" s="7"/>
      <c r="V20" s="7"/>
    </row>
    <row r="21" spans="1:22">
      <c r="T21" s="7"/>
      <c r="U21" s="7"/>
      <c r="V21" s="7"/>
    </row>
    <row r="22" spans="1:22">
      <c r="A22" s="144" t="s">
        <v>11</v>
      </c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22">
      <c r="A23" s="106"/>
      <c r="B23" s="106"/>
      <c r="C23" s="106"/>
      <c r="D23" s="106"/>
      <c r="E23" s="106"/>
      <c r="F23" s="106"/>
      <c r="G23" s="145" t="s">
        <v>37</v>
      </c>
      <c r="H23" s="145"/>
      <c r="I23" s="145"/>
      <c r="J23" s="109">
        <v>80</v>
      </c>
    </row>
    <row r="24" spans="1:22">
      <c r="C24" s="132"/>
      <c r="D24" s="132"/>
      <c r="E24" s="132"/>
      <c r="L24" s="143" t="s">
        <v>39</v>
      </c>
      <c r="M24" s="143"/>
      <c r="N24" s="112">
        <f>IF($J$25="CAGUA 120",0.46,IF($J$25="CAGUA 140",0.46,IF($J$25="CAGUA 142",0.6,IF($J$25="CAGUA 150",0.6,IF($J$25="CAGUA 160",0.8,IF($J$25="CAGUA 180",0.8,"ERROR"))))))</f>
        <v>0.46</v>
      </c>
    </row>
    <row r="25" spans="1:22">
      <c r="D25" s="132"/>
      <c r="G25" s="142" t="s">
        <v>12</v>
      </c>
      <c r="H25" s="142"/>
      <c r="I25" s="142"/>
      <c r="J25" s="152" t="s">
        <v>15</v>
      </c>
      <c r="K25" s="152"/>
      <c r="L25" s="143" t="s">
        <v>46</v>
      </c>
      <c r="M25" s="143"/>
      <c r="N25" s="107">
        <f>IF($J$25="CAGUA 120",753,IF($J$25="CAGUA 140",832,IF($J$25="CAGUA 142",1060,IF($J$25="CAGUA 150",1180,IF($J$25="CAGUA 160",1250,IF($J$25="CAGUA 180",1340,"ERROR"))))))</f>
        <v>753</v>
      </c>
    </row>
    <row r="26" spans="1:22">
      <c r="D26" s="132"/>
      <c r="G26" s="142" t="s">
        <v>21</v>
      </c>
      <c r="H26" s="142"/>
      <c r="I26" s="142"/>
      <c r="J26" s="148">
        <v>2</v>
      </c>
      <c r="K26" s="148"/>
      <c r="L26" s="142" t="s">
        <v>89</v>
      </c>
      <c r="M26" s="142"/>
      <c r="N26" s="108">
        <f>IF($J$25="CAGUA 120",'BASE DE DATOS'!$F$4,IF($J$25="CAGUA 140",'BASE DE DATOS'!$F$5,IF($J$25="CAGUA 142",'BASE DE DATOS'!$F$6,IF($J$25="CAGUA 150",'BASE DE DATOS'!$F$7,IF($J$25="CAGUA 160",'BASE DE DATOS'!$F$8,IF($J$25="CAGUA 120",'BASE DE DATOS'!$F$9))))))</f>
        <v>3.0750000000000002</v>
      </c>
    </row>
    <row r="27" spans="1:22">
      <c r="D27" s="132"/>
      <c r="L27" s="142" t="s">
        <v>92</v>
      </c>
      <c r="M27" s="142"/>
      <c r="N27" s="107">
        <f>IF($J$25="CAGUA 120",'BASE DE DATOS'!$C$4,IF($J$25="CAGUA 140",'BASE DE DATOS'!$C$5,IF($J$25="CAGUA 142",'BASE DE DATOS'!$C$6,IF($J$25="CAGUA 150",'BASE DE DATOS'!$C$7,IF($J$25="CAGUA 160",'BASE DE DATOS'!$C$8,IF($J$25="CAGUA 120",'BASE DE DATOS'!$C$9))))))</f>
        <v>120</v>
      </c>
    </row>
    <row r="28" spans="1:22">
      <c r="D28" s="13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2">
      <c r="D29" s="132"/>
      <c r="F29" s="2"/>
      <c r="G29" s="2"/>
      <c r="H29" s="2"/>
      <c r="I29" s="188"/>
      <c r="J29" s="188"/>
      <c r="K29" s="188"/>
      <c r="L29" s="188"/>
      <c r="M29" s="188"/>
      <c r="N29" s="2"/>
      <c r="O29" s="2"/>
      <c r="P29" s="2"/>
    </row>
    <row r="30" spans="1:22" ht="43.5" customHeight="1">
      <c r="D30" s="132"/>
      <c r="F30" s="133"/>
      <c r="G30" s="189"/>
      <c r="H30" s="189"/>
      <c r="I30" s="134"/>
      <c r="J30" s="134"/>
      <c r="K30" s="134"/>
      <c r="L30" s="190"/>
      <c r="M30" s="190"/>
      <c r="N30" s="135"/>
      <c r="O30" s="191"/>
      <c r="P30" s="191"/>
    </row>
    <row r="31" spans="1:22">
      <c r="C31" s="132"/>
      <c r="D31" s="132"/>
      <c r="E31" s="132"/>
      <c r="F31" s="136"/>
      <c r="G31" s="192"/>
      <c r="H31" s="192"/>
      <c r="I31" s="137"/>
      <c r="J31" s="138"/>
      <c r="K31" s="136"/>
      <c r="L31" s="193"/>
      <c r="M31" s="193"/>
      <c r="N31" s="136"/>
      <c r="O31" s="194"/>
      <c r="P31" s="194"/>
    </row>
    <row r="32" spans="1:22">
      <c r="F32" s="114"/>
      <c r="G32" s="2"/>
    </row>
    <row r="33" spans="1:16">
      <c r="F33" s="151" t="s">
        <v>36</v>
      </c>
      <c r="G33" s="151"/>
      <c r="H33" s="151"/>
      <c r="I33" s="151"/>
      <c r="J33" s="151"/>
      <c r="K33" s="109">
        <v>5</v>
      </c>
      <c r="L33" s="149" t="s">
        <v>35</v>
      </c>
      <c r="M33" s="149"/>
      <c r="N33" s="149"/>
      <c r="O33" s="163">
        <v>2400</v>
      </c>
      <c r="P33" s="163"/>
    </row>
    <row r="34" spans="1:16">
      <c r="F34" s="151" t="s">
        <v>38</v>
      </c>
      <c r="G34" s="151"/>
      <c r="H34" s="151"/>
      <c r="I34" s="114">
        <f>($H$20-$N$24)/ROUND(($H$20/$J$26),0)</f>
        <v>1.98</v>
      </c>
      <c r="J34" s="145" t="s">
        <v>40</v>
      </c>
      <c r="K34" s="145"/>
      <c r="L34" s="150">
        <f>0.1+$I$34/30</f>
        <v>0.17</v>
      </c>
      <c r="M34" s="150"/>
    </row>
    <row r="35" spans="1:16">
      <c r="F35" s="151" t="s">
        <v>52</v>
      </c>
      <c r="G35" s="151"/>
      <c r="H35" s="151"/>
      <c r="I35" s="114">
        <f>ROUND(($H$20/$J$26),0)</f>
        <v>9</v>
      </c>
      <c r="J35" s="145" t="s">
        <v>41</v>
      </c>
      <c r="K35" s="145"/>
      <c r="L35" s="150">
        <f>IF($L$34&gt;0.18,$L$34,0.18)</f>
        <v>0.18</v>
      </c>
      <c r="M35" s="150"/>
    </row>
    <row r="36" spans="1:16">
      <c r="F36" s="114"/>
      <c r="G36" s="2"/>
    </row>
    <row r="37" spans="1:16">
      <c r="A37" s="144" t="s">
        <v>42</v>
      </c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6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6">
      <c r="A39" s="145" t="s">
        <v>55</v>
      </c>
      <c r="B39" s="145"/>
      <c r="C39" s="145"/>
      <c r="D39" s="145"/>
      <c r="G39" s="7"/>
      <c r="H39" s="7"/>
    </row>
    <row r="40" spans="1:16" ht="15.75">
      <c r="A40" s="185" t="s">
        <v>43</v>
      </c>
      <c r="B40" s="185"/>
      <c r="C40" s="185"/>
      <c r="D40" s="185"/>
      <c r="E40" s="185"/>
      <c r="F40" s="185"/>
      <c r="G40" s="165">
        <f>$L$35*$I$34*2500</f>
        <v>891</v>
      </c>
      <c r="H40" s="165"/>
      <c r="I40" s="65" t="s">
        <v>47</v>
      </c>
      <c r="J40" s="105" t="s">
        <v>49</v>
      </c>
      <c r="K40" s="140">
        <f>$G$40*($J$23)^2/8</f>
        <v>712800</v>
      </c>
      <c r="L40" s="140"/>
    </row>
    <row r="41" spans="1:16" ht="15.75">
      <c r="A41" s="185" t="s">
        <v>44</v>
      </c>
      <c r="B41" s="185"/>
      <c r="C41" s="185"/>
      <c r="D41" s="186" t="str">
        <f>$J$25</f>
        <v>CAGUA 120</v>
      </c>
      <c r="E41" s="186"/>
      <c r="F41" s="67" t="s">
        <v>45</v>
      </c>
      <c r="G41" s="165">
        <f>$N$25</f>
        <v>753</v>
      </c>
      <c r="H41" s="165"/>
      <c r="I41" s="65" t="s">
        <v>47</v>
      </c>
      <c r="J41" s="105" t="s">
        <v>48</v>
      </c>
      <c r="K41" s="140">
        <f>$G$41*($J$23)^2/8</f>
        <v>602400</v>
      </c>
      <c r="L41" s="140"/>
    </row>
    <row r="42" spans="1:16">
      <c r="A42" s="157" t="s">
        <v>50</v>
      </c>
      <c r="B42" s="157"/>
      <c r="C42" s="157"/>
      <c r="D42" s="157"/>
      <c r="E42" s="157"/>
      <c r="F42" s="157"/>
      <c r="G42" s="150">
        <f>$K$33/100*$I$34*$O$33</f>
        <v>237.6</v>
      </c>
      <c r="H42" s="150"/>
      <c r="I42" s="65" t="s">
        <v>47</v>
      </c>
      <c r="J42" s="105" t="s">
        <v>51</v>
      </c>
      <c r="K42" s="140">
        <f>$G$42*($J$23)^2/8</f>
        <v>190080</v>
      </c>
      <c r="L42" s="140"/>
    </row>
    <row r="43" spans="1:16" ht="15.75" thickBot="1">
      <c r="A43" s="157" t="s">
        <v>53</v>
      </c>
      <c r="B43" s="157"/>
      <c r="C43" s="157"/>
      <c r="D43" s="157"/>
      <c r="E43" s="157"/>
      <c r="F43" s="157"/>
      <c r="G43" s="150">
        <f>770*2/$I$35</f>
        <v>171.11</v>
      </c>
      <c r="H43" s="150"/>
      <c r="I43" s="65" t="s">
        <v>47</v>
      </c>
      <c r="J43" s="105" t="s">
        <v>54</v>
      </c>
      <c r="K43" s="140">
        <f>$G$43*($J$23)^2/8</f>
        <v>136888</v>
      </c>
      <c r="L43" s="140"/>
    </row>
    <row r="44" spans="1:16" ht="15.75" thickBot="1">
      <c r="A44" s="115"/>
      <c r="J44" s="95" t="s">
        <v>97</v>
      </c>
      <c r="K44" s="146">
        <f>SUM(K40:L43)</f>
        <v>1642168</v>
      </c>
      <c r="L44" s="147"/>
    </row>
    <row r="45" spans="1:16">
      <c r="A45" s="145" t="s">
        <v>56</v>
      </c>
      <c r="B45" s="145"/>
      <c r="C45" s="145"/>
      <c r="D45" s="145"/>
    </row>
    <row r="46" spans="1:16">
      <c r="A46" s="142" t="s">
        <v>60</v>
      </c>
      <c r="B46" s="142"/>
      <c r="C46" s="142"/>
      <c r="D46" s="142"/>
      <c r="E46" s="72" t="s">
        <v>58</v>
      </c>
      <c r="F46" s="156" t="s">
        <v>77</v>
      </c>
      <c r="G46" s="156"/>
      <c r="H46" s="156"/>
      <c r="I46" s="156"/>
      <c r="J46" s="156"/>
      <c r="K46" s="154">
        <f>IF($E$46="HS-20",2.25*'BASE DE DATOS'!$U$4/'TABLERO ACERO'!$J$23*('TABLERO ACERO'!$J$23/2+0.71)^2-4.27*'BASE DE DATOS'!$U$4,IF($E$46="HS-20+20%",1.2*((2.25*'BASE DE DATOS'!$U$5)/('TABLERO ACERO'!$J$23)*('TABLERO ACERO'!$J$23/2+0.71)^2-4.27*'BASE DE DATOS'!$U$5),IF($E$46="HL-93",(2.25*'BASE DE DATOS'!$U$6)/'TABLERO ACERO'!$J$23*('TABLERO ACERO'!$J$23/2+0.71)^2-4.27*('BASE DE DATOS'!$U$6))))</f>
        <v>368779.08</v>
      </c>
      <c r="L46" s="154"/>
    </row>
    <row r="47" spans="1:16">
      <c r="C47" s="142" t="s">
        <v>61</v>
      </c>
      <c r="D47" s="142"/>
      <c r="E47" s="142"/>
      <c r="F47" s="156" t="s">
        <v>77</v>
      </c>
      <c r="G47" s="156"/>
      <c r="H47" s="156"/>
      <c r="I47" s="156"/>
      <c r="J47" s="156"/>
      <c r="K47" s="155">
        <f>15.24/(38.1+$J$23)</f>
        <v>0.129</v>
      </c>
      <c r="L47" s="155"/>
    </row>
    <row r="48" spans="1:16" ht="15.75" thickBot="1">
      <c r="C48" s="142" t="s">
        <v>83</v>
      </c>
      <c r="D48" s="142"/>
      <c r="E48" s="142"/>
      <c r="F48" s="156" t="s">
        <v>77</v>
      </c>
      <c r="G48" s="156"/>
      <c r="H48" s="156"/>
      <c r="I48" s="156"/>
      <c r="J48" s="156"/>
      <c r="K48" s="154">
        <f>$I$34/1.676</f>
        <v>1.18</v>
      </c>
      <c r="L48" s="154"/>
    </row>
    <row r="49" spans="1:16" ht="15.75" thickBot="1">
      <c r="I49" s="65"/>
      <c r="J49" s="95" t="s">
        <v>62</v>
      </c>
      <c r="K49" s="146">
        <f>$K$46*(1+$K$47)*$K$48</f>
        <v>491294.87</v>
      </c>
      <c r="L49" s="147"/>
    </row>
    <row r="51" spans="1:16">
      <c r="A51" s="144" t="s">
        <v>63</v>
      </c>
      <c r="B51" s="144"/>
      <c r="C51" s="144"/>
      <c r="D51" s="144"/>
      <c r="J51" s="144" t="s">
        <v>72</v>
      </c>
      <c r="K51" s="144"/>
      <c r="L51" s="144"/>
      <c r="M51" s="144"/>
      <c r="N51" s="144"/>
      <c r="O51" s="84"/>
      <c r="P51" s="84"/>
    </row>
    <row r="52" spans="1:16">
      <c r="A52" s="157" t="s">
        <v>64</v>
      </c>
      <c r="B52" s="157"/>
      <c r="C52" s="157"/>
      <c r="D52" s="157"/>
      <c r="E52" s="109">
        <v>350</v>
      </c>
      <c r="F52" s="115"/>
      <c r="G52" s="115"/>
      <c r="H52" s="115"/>
      <c r="J52" s="142" t="s">
        <v>84</v>
      </c>
      <c r="K52" s="142"/>
      <c r="L52" s="142"/>
    </row>
    <row r="53" spans="1:16">
      <c r="A53" s="157" t="s">
        <v>78</v>
      </c>
      <c r="B53" s="157"/>
      <c r="C53" s="157"/>
      <c r="D53" s="157"/>
      <c r="E53" s="109">
        <v>280</v>
      </c>
      <c r="F53" s="115"/>
      <c r="G53" s="115"/>
      <c r="H53" s="115"/>
      <c r="J53" s="142" t="s">
        <v>73</v>
      </c>
      <c r="K53" s="142"/>
      <c r="L53" s="140">
        <f>IF($F$55="PRETENSADO",0.6*$E$53,0.55*$E$53)</f>
        <v>168</v>
      </c>
      <c r="M53" s="140"/>
    </row>
    <row r="54" spans="1:16">
      <c r="A54" s="157" t="s">
        <v>71</v>
      </c>
      <c r="B54" s="157"/>
      <c r="C54" s="157"/>
      <c r="D54" s="157"/>
      <c r="E54" s="157"/>
      <c r="F54" s="187" t="s">
        <v>66</v>
      </c>
      <c r="G54" s="187"/>
      <c r="H54" s="187"/>
      <c r="J54" s="142" t="s">
        <v>74</v>
      </c>
      <c r="K54" s="142"/>
      <c r="L54" s="140">
        <f>MAX(14,0.8*SQRT($E$53))</f>
        <v>14</v>
      </c>
      <c r="M54" s="140"/>
    </row>
    <row r="55" spans="1:16">
      <c r="A55" s="157" t="s">
        <v>70</v>
      </c>
      <c r="B55" s="157"/>
      <c r="C55" s="157"/>
      <c r="D55" s="157"/>
      <c r="E55" s="157"/>
      <c r="F55" s="187" t="s">
        <v>68</v>
      </c>
      <c r="G55" s="187"/>
      <c r="H55" s="187"/>
    </row>
    <row r="56" spans="1:16">
      <c r="A56" s="115"/>
      <c r="B56" s="115"/>
      <c r="C56" s="115"/>
      <c r="D56" s="115"/>
      <c r="E56" s="115"/>
      <c r="F56" s="116"/>
      <c r="G56" s="116"/>
      <c r="H56" s="116"/>
      <c r="J56" s="142" t="s">
        <v>86</v>
      </c>
      <c r="K56" s="142"/>
      <c r="L56" s="142"/>
    </row>
    <row r="57" spans="1:16">
      <c r="J57" s="142" t="s">
        <v>85</v>
      </c>
      <c r="K57" s="142"/>
      <c r="L57" s="140">
        <f>0.4*$E$52</f>
        <v>140</v>
      </c>
      <c r="M57" s="140"/>
    </row>
    <row r="58" spans="1:16">
      <c r="J58" s="142" t="s">
        <v>74</v>
      </c>
      <c r="K58" s="142"/>
      <c r="L58" s="140">
        <f>IF($F$54="NO AGRESIVO",1.6*SQRT($E$52),IF($F$54="AGRESIVOS",0.8*SQRT($E$52),0))</f>
        <v>29.93</v>
      </c>
      <c r="M58" s="140"/>
    </row>
    <row r="59" spans="1:16">
      <c r="J59" s="104"/>
      <c r="K59" s="104"/>
      <c r="L59" s="103"/>
      <c r="M59" s="103"/>
    </row>
    <row r="60" spans="1:16">
      <c r="A60" s="84" t="s">
        <v>79</v>
      </c>
      <c r="B60" s="84"/>
      <c r="C60" s="84"/>
      <c r="D60" s="84"/>
      <c r="H60" s="145" t="s">
        <v>80</v>
      </c>
      <c r="I60" s="145"/>
      <c r="J60" s="145"/>
      <c r="K60" s="145"/>
      <c r="L60" s="84"/>
      <c r="M60" s="84"/>
    </row>
    <row r="62" spans="1:16" ht="15.75">
      <c r="A62" s="142" t="s">
        <v>93</v>
      </c>
      <c r="B62" s="142"/>
      <c r="C62" s="112">
        <f>$N$27-$K$31</f>
        <v>120</v>
      </c>
      <c r="D62" t="s">
        <v>94</v>
      </c>
      <c r="E62" s="112">
        <f>$K$31</f>
        <v>0</v>
      </c>
      <c r="H62" s="97" t="s">
        <v>95</v>
      </c>
      <c r="I62" s="112" t="e">
        <f>($K$42+$K$43+$K$49)*100/$C$63</f>
        <v>#DIV/0!</v>
      </c>
      <c r="K62" t="s">
        <v>99</v>
      </c>
      <c r="L62" s="140" t="e">
        <f>($K$41+$K$40-$I$64*$K$41)*100/($L$57+$I$64*$L$54-$I$62)</f>
        <v>#DIV/0!</v>
      </c>
      <c r="M62" s="140"/>
    </row>
    <row r="63" spans="1:16" ht="15.75">
      <c r="A63" s="142" t="s">
        <v>87</v>
      </c>
      <c r="B63" s="142"/>
      <c r="C63" s="107">
        <f>$J$31/$C$62</f>
        <v>0</v>
      </c>
      <c r="D63" t="s">
        <v>90</v>
      </c>
      <c r="E63" s="107" t="e">
        <f>$J$31/$E$62</f>
        <v>#DIV/0!</v>
      </c>
      <c r="H63" s="97" t="s">
        <v>96</v>
      </c>
      <c r="I63" s="112" t="e">
        <f>($K$42+$K$43+$K$49)*100/$L$31</f>
        <v>#DIV/0!</v>
      </c>
      <c r="K63" t="s">
        <v>101</v>
      </c>
      <c r="L63" s="140" t="e">
        <f>($K$41+$K$40-$I$64*$K$41)*100/($L$58+$I$64*$L$53-$I$63)</f>
        <v>#DIV/0!</v>
      </c>
      <c r="M63" s="140"/>
    </row>
    <row r="64" spans="1:16" ht="15.75">
      <c r="A64" s="104" t="s">
        <v>88</v>
      </c>
      <c r="B64" s="104"/>
      <c r="C64" s="107">
        <f>$C$63/$N$26</f>
        <v>0</v>
      </c>
      <c r="D64" t="s">
        <v>91</v>
      </c>
      <c r="E64" s="107" t="e">
        <f>$E$63/$N$26</f>
        <v>#DIV/0!</v>
      </c>
      <c r="F64" s="85"/>
      <c r="H64" s="96" t="s">
        <v>100</v>
      </c>
      <c r="I64" s="112">
        <v>0.8</v>
      </c>
    </row>
    <row r="65" spans="5:12" ht="15.75">
      <c r="F65" s="85"/>
    </row>
    <row r="66" spans="5:12" ht="15.75">
      <c r="E66" s="85"/>
      <c r="G66" s="139" t="str">
        <f>$D$41</f>
        <v>CAGUA 120</v>
      </c>
      <c r="H66" s="139"/>
    </row>
    <row r="67" spans="5:12" ht="15.75">
      <c r="F67" s="98" t="s">
        <v>87</v>
      </c>
      <c r="G67" s="140">
        <f>IF($G$66="CAGUA 120",'BASE DE DATOS'!$E$4,IF($G$66="CAGUA 140",'BASE DE DATOS'!$E$5,IF($G$66="CAGUA 142",'BASE DE DATOS'!$E$6,IF($G$6="CAGUA 150",'BASE DE DATOS'!$E$7,IF($G$66="CAGUA 160",'BASE DE DATOS'!$E$8,IF($G$66="CAGUA 180",'BASE DE DATOS'!$E$9))))))</f>
        <v>83128</v>
      </c>
      <c r="H67" s="140"/>
      <c r="I67" s="101" t="e">
        <f>IF($G$67&gt;=$J$67,"≥","≤")</f>
        <v>#DIV/0!</v>
      </c>
      <c r="J67" s="102" t="e">
        <f>$L$62</f>
        <v>#DIV/0!</v>
      </c>
      <c r="K67" s="141" t="e">
        <f>IF(G67&gt;=J67,"OK!!!","REDIMENSIONAR")</f>
        <v>#DIV/0!</v>
      </c>
      <c r="L67" s="141"/>
    </row>
    <row r="68" spans="5:12" ht="15.75">
      <c r="F68" s="98" t="s">
        <v>90</v>
      </c>
      <c r="G68" s="140">
        <f>IF($G$66="CAGUA 120",'BASE DE DATOS'!$D$4,IF($G$66="CAGUA 140",'BASE DE DATOS'!$D$5,IF($G$66="CAGUA 142",'BASE DE DATOS'!$D$6,IF($G$6="CAGUA 150",'BASE DE DATOS'!$D$7,IF($G$66="CAGUA 160",'BASE DE DATOS'!$D$8,IF($G$66="CAGUA 180",'BASE DE DATOS'!$D$9))))))</f>
        <v>90417</v>
      </c>
      <c r="H68" s="140"/>
      <c r="I68" s="101" t="e">
        <f>IF($G$68&gt;=$J$68,"≥","≤")</f>
        <v>#DIV/0!</v>
      </c>
      <c r="J68" s="102" t="e">
        <f>$L$63</f>
        <v>#DIV/0!</v>
      </c>
      <c r="K68" s="141" t="e">
        <f>IF(G68&gt;=J68,"OK!!!","REDIMENSIONAR")</f>
        <v>#DIV/0!</v>
      </c>
      <c r="L68" s="141"/>
    </row>
  </sheetData>
  <mergeCells count="107">
    <mergeCell ref="Q6:R6"/>
    <mergeCell ref="A7:B7"/>
    <mergeCell ref="O7:P7"/>
    <mergeCell ref="C9:C10"/>
    <mergeCell ref="N9:N10"/>
    <mergeCell ref="E10:F10"/>
    <mergeCell ref="J10:K10"/>
    <mergeCell ref="E11:F11"/>
    <mergeCell ref="J11:K11"/>
    <mergeCell ref="F2:P2"/>
    <mergeCell ref="A4:J4"/>
    <mergeCell ref="D6:E6"/>
    <mergeCell ref="H6:I7"/>
    <mergeCell ref="L6:M6"/>
    <mergeCell ref="E12:F12"/>
    <mergeCell ref="J12:K12"/>
    <mergeCell ref="E13:F13"/>
    <mergeCell ref="J13:K13"/>
    <mergeCell ref="H16:I16"/>
    <mergeCell ref="E18:G18"/>
    <mergeCell ref="H18:I18"/>
    <mergeCell ref="J18:L18"/>
    <mergeCell ref="H8:I8"/>
    <mergeCell ref="G25:I25"/>
    <mergeCell ref="J25:K25"/>
    <mergeCell ref="L25:M25"/>
    <mergeCell ref="G26:I26"/>
    <mergeCell ref="J26:K26"/>
    <mergeCell ref="L26:M26"/>
    <mergeCell ref="B20:G20"/>
    <mergeCell ref="H20:I20"/>
    <mergeCell ref="J20:O20"/>
    <mergeCell ref="A22:J22"/>
    <mergeCell ref="O33:P33"/>
    <mergeCell ref="F34:H34"/>
    <mergeCell ref="J34:K34"/>
    <mergeCell ref="L34:M34"/>
    <mergeCell ref="L27:M27"/>
    <mergeCell ref="I29:M29"/>
    <mergeCell ref="G30:H30"/>
    <mergeCell ref="L30:M30"/>
    <mergeCell ref="O30:P30"/>
    <mergeCell ref="G31:H31"/>
    <mergeCell ref="L31:M31"/>
    <mergeCell ref="O31:P31"/>
    <mergeCell ref="F35:H35"/>
    <mergeCell ref="J35:K35"/>
    <mergeCell ref="L35:M35"/>
    <mergeCell ref="A37:J37"/>
    <mergeCell ref="A39:D39"/>
    <mergeCell ref="A40:F40"/>
    <mergeCell ref="G40:H40"/>
    <mergeCell ref="K40:L40"/>
    <mergeCell ref="F33:J33"/>
    <mergeCell ref="L33:N33"/>
    <mergeCell ref="A43:F43"/>
    <mergeCell ref="G43:H43"/>
    <mergeCell ref="K43:L43"/>
    <mergeCell ref="K44:L44"/>
    <mergeCell ref="A45:D45"/>
    <mergeCell ref="A46:D46"/>
    <mergeCell ref="F46:J46"/>
    <mergeCell ref="K46:L46"/>
    <mergeCell ref="A41:C41"/>
    <mergeCell ref="D41:E41"/>
    <mergeCell ref="G41:H41"/>
    <mergeCell ref="K41:L41"/>
    <mergeCell ref="A42:F42"/>
    <mergeCell ref="G42:H42"/>
    <mergeCell ref="K42:L42"/>
    <mergeCell ref="A51:D51"/>
    <mergeCell ref="J51:N51"/>
    <mergeCell ref="A52:D52"/>
    <mergeCell ref="J52:L52"/>
    <mergeCell ref="A53:D53"/>
    <mergeCell ref="J53:K53"/>
    <mergeCell ref="L53:M53"/>
    <mergeCell ref="C47:E47"/>
    <mergeCell ref="F47:J47"/>
    <mergeCell ref="K47:L47"/>
    <mergeCell ref="C48:E48"/>
    <mergeCell ref="F48:J48"/>
    <mergeCell ref="K48:L48"/>
    <mergeCell ref="G68:H68"/>
    <mergeCell ref="K68:L68"/>
    <mergeCell ref="L24:M24"/>
    <mergeCell ref="G23:I23"/>
    <mergeCell ref="A62:B62"/>
    <mergeCell ref="L62:M62"/>
    <mergeCell ref="A63:B63"/>
    <mergeCell ref="L63:M63"/>
    <mergeCell ref="G66:H66"/>
    <mergeCell ref="G67:H67"/>
    <mergeCell ref="K67:L67"/>
    <mergeCell ref="J56:L56"/>
    <mergeCell ref="J57:K57"/>
    <mergeCell ref="L57:M57"/>
    <mergeCell ref="J58:K58"/>
    <mergeCell ref="L58:M58"/>
    <mergeCell ref="H60:K60"/>
    <mergeCell ref="A54:E54"/>
    <mergeCell ref="F54:H54"/>
    <mergeCell ref="J54:K54"/>
    <mergeCell ref="L54:M54"/>
    <mergeCell ref="A55:E55"/>
    <mergeCell ref="F55:H55"/>
    <mergeCell ref="K49:L49"/>
  </mergeCells>
  <dataValidations count="6">
    <dataValidation type="list" allowBlank="1" showInputMessage="1" showErrorMessage="1" sqref="N42:O42">
      <formula1>$U$42:$U$44</formula1>
    </dataValidation>
    <dataValidation type="list" allowBlank="1" showInputMessage="1" showErrorMessage="1" sqref="J26:K26">
      <formula1>'BASE DE DATOS'!$B$4:$B$9</formula1>
    </dataValidation>
    <dataValidation type="list" allowBlank="1" showInputMessage="1" showErrorMessage="1" sqref="J25">
      <formula1>'BASE DE DATOS'!$A$4:$A$9</formula1>
    </dataValidation>
    <dataValidation type="list" allowBlank="1" showInputMessage="1" showErrorMessage="1" sqref="E46">
      <formula1>'BASE DE DATOS'!$T$4:$T$9</formula1>
    </dataValidation>
    <dataValidation type="list" allowBlank="1" showInputMessage="1" showErrorMessage="1" sqref="F54">
      <formula1>'BASE DE DATOS'!$W$4:$W$9</formula1>
    </dataValidation>
    <dataValidation type="list" allowBlank="1" showInputMessage="1" showErrorMessage="1" sqref="F55:F56">
      <formula1>'BASE DE DATOS'!$Z$4:$Z$9</formula1>
    </dataValidation>
  </dataValidations>
  <pageMargins left="0.39370078740157483" right="0.39370078740157483" top="0.39370078740157483" bottom="0.39370078740157483" header="0.31496062992125984" footer="0.31496062992125984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Normal="100" workbookViewId="0">
      <selection activeCell="H12" sqref="H12"/>
    </sheetView>
  </sheetViews>
  <sheetFormatPr baseColWidth="10" defaultRowHeight="15"/>
  <cols>
    <col min="1" max="1" width="4.7109375" customWidth="1"/>
    <col min="2" max="2" width="1.7109375" customWidth="1"/>
    <col min="4" max="4" width="5.7109375" customWidth="1"/>
    <col min="6" max="6" width="4.85546875" customWidth="1"/>
    <col min="7" max="7" width="4.28515625" customWidth="1"/>
    <col min="8" max="9" width="7.7109375" customWidth="1"/>
    <col min="10" max="10" width="6.85546875" customWidth="1"/>
    <col min="11" max="11" width="10.28515625" customWidth="1"/>
    <col min="12" max="13" width="5.7109375" customWidth="1"/>
    <col min="15" max="15" width="1.7109375" customWidth="1"/>
    <col min="17" max="17" width="4.7109375" customWidth="1"/>
  </cols>
  <sheetData>
    <row r="1" spans="1:18">
      <c r="A1" t="s">
        <v>0</v>
      </c>
    </row>
    <row r="2" spans="1:18" ht="21">
      <c r="A2" t="s">
        <v>1</v>
      </c>
      <c r="F2" s="158" t="s">
        <v>116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4" spans="1:18">
      <c r="A4" s="211" t="s">
        <v>105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6" spans="1:18" ht="15.75" thickBot="1"/>
    <row r="7" spans="1:18">
      <c r="C7" s="121"/>
      <c r="D7" s="122"/>
      <c r="E7" s="123"/>
      <c r="F7" s="117"/>
      <c r="G7" s="117"/>
      <c r="J7" s="126" t="s">
        <v>110</v>
      </c>
      <c r="K7" s="127">
        <v>2.5000000000000001E-2</v>
      </c>
    </row>
    <row r="8" spans="1:18">
      <c r="D8" s="124"/>
      <c r="G8" s="3"/>
      <c r="J8" s="128" t="s">
        <v>111</v>
      </c>
      <c r="K8" s="129">
        <v>0.47020000000000001</v>
      </c>
    </row>
    <row r="9" spans="1:18" ht="15.75" thickBot="1">
      <c r="D9" s="124"/>
      <c r="G9" s="3"/>
      <c r="J9" s="130" t="s">
        <v>112</v>
      </c>
      <c r="K9" s="131">
        <v>2.86E-2</v>
      </c>
    </row>
    <row r="10" spans="1:18" ht="15.75" thickBot="1">
      <c r="D10" s="124"/>
      <c r="G10" s="3"/>
    </row>
    <row r="11" spans="1:18">
      <c r="D11" s="124"/>
      <c r="G11" s="119" t="s">
        <v>106</v>
      </c>
      <c r="H11" s="109">
        <v>1750</v>
      </c>
      <c r="J11" s="209" t="s">
        <v>113</v>
      </c>
      <c r="K11" s="210"/>
      <c r="L11" s="199">
        <f>$K$7*$H$11</f>
        <v>43.75</v>
      </c>
      <c r="M11" s="200"/>
    </row>
    <row r="12" spans="1:18">
      <c r="D12" s="124"/>
      <c r="G12" s="3"/>
      <c r="J12" s="205" t="s">
        <v>114</v>
      </c>
      <c r="K12" s="206"/>
      <c r="L12" s="201">
        <f>$K$8*$H$11</f>
        <v>822.85</v>
      </c>
      <c r="M12" s="202"/>
    </row>
    <row r="13" spans="1:18" ht="15.75" thickBot="1">
      <c r="D13" s="124"/>
      <c r="G13" s="3"/>
      <c r="J13" s="207" t="s">
        <v>115</v>
      </c>
      <c r="K13" s="208"/>
      <c r="L13" s="203">
        <f>$K$9*$H$11</f>
        <v>50.05</v>
      </c>
      <c r="M13" s="204"/>
    </row>
    <row r="14" spans="1:18">
      <c r="D14" s="124"/>
      <c r="G14" s="3"/>
    </row>
    <row r="15" spans="1:18">
      <c r="C15" s="121"/>
      <c r="D15" s="125"/>
      <c r="E15" s="123"/>
      <c r="F15" s="118"/>
      <c r="G15" s="118"/>
      <c r="H15" s="120" t="s">
        <v>107</v>
      </c>
    </row>
    <row r="17" spans="3:5">
      <c r="D17" s="195" t="s">
        <v>109</v>
      </c>
    </row>
    <row r="18" spans="3:5">
      <c r="D18" s="195"/>
    </row>
    <row r="19" spans="3:5">
      <c r="C19" s="196" t="s">
        <v>108</v>
      </c>
      <c r="D19" s="197"/>
      <c r="E19" s="198"/>
    </row>
    <row r="20" spans="3:5">
      <c r="C20" s="196"/>
      <c r="D20" s="197"/>
      <c r="E20" s="198"/>
    </row>
  </sheetData>
  <mergeCells count="10">
    <mergeCell ref="F2:P2"/>
    <mergeCell ref="A4:R4"/>
    <mergeCell ref="D17:D18"/>
    <mergeCell ref="C19:E20"/>
    <mergeCell ref="L11:M11"/>
    <mergeCell ref="L12:M12"/>
    <mergeCell ref="L13:M13"/>
    <mergeCell ref="J12:K12"/>
    <mergeCell ref="J13:K13"/>
    <mergeCell ref="J11:K11"/>
  </mergeCells>
  <pageMargins left="0.39370078740157483" right="0.39370078740157483" top="0.39370078740157483" bottom="0.39370078740157483" header="0.31496062992125984" footer="0.31496062992125984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workbookViewId="0">
      <selection activeCell="D11" sqref="D11"/>
    </sheetView>
  </sheetViews>
  <sheetFormatPr baseColWidth="10" defaultRowHeight="15"/>
  <cols>
    <col min="23" max="23" width="23" customWidth="1"/>
    <col min="26" max="26" width="14" customWidth="1"/>
  </cols>
  <sheetData>
    <row r="1" spans="1:27" ht="15.75" thickBot="1">
      <c r="L1" s="178" t="s">
        <v>31</v>
      </c>
      <c r="M1" s="179"/>
      <c r="N1" s="179"/>
      <c r="O1" s="179"/>
      <c r="P1" s="180"/>
    </row>
    <row r="2" spans="1:27" ht="39" thickBot="1">
      <c r="A2" s="221" t="s">
        <v>13</v>
      </c>
      <c r="B2" s="222"/>
      <c r="C2" s="223"/>
      <c r="D2" s="223"/>
      <c r="E2" s="223"/>
      <c r="F2" s="224"/>
      <c r="G2" s="7"/>
      <c r="H2" s="7"/>
      <c r="I2" s="45" t="s">
        <v>23</v>
      </c>
      <c r="J2" s="220" t="s">
        <v>24</v>
      </c>
      <c r="K2" s="220"/>
      <c r="L2" s="46" t="s">
        <v>25</v>
      </c>
      <c r="M2" s="46" t="s">
        <v>26</v>
      </c>
      <c r="N2" s="46" t="s">
        <v>27</v>
      </c>
      <c r="O2" s="227" t="s">
        <v>28</v>
      </c>
      <c r="P2" s="227"/>
      <c r="Q2" s="47" t="s">
        <v>29</v>
      </c>
      <c r="R2" s="48" t="s">
        <v>30</v>
      </c>
      <c r="T2" s="225" t="s">
        <v>57</v>
      </c>
      <c r="U2" s="226"/>
      <c r="W2" s="225" t="s">
        <v>65</v>
      </c>
      <c r="X2" s="226"/>
      <c r="Z2" s="225" t="s">
        <v>67</v>
      </c>
      <c r="AA2" s="226"/>
    </row>
    <row r="3" spans="1:27">
      <c r="A3" s="21" t="s">
        <v>14</v>
      </c>
      <c r="B3" s="86" t="s">
        <v>22</v>
      </c>
      <c r="C3" s="91" t="s">
        <v>92</v>
      </c>
      <c r="D3" s="91" t="s">
        <v>102</v>
      </c>
      <c r="E3" s="91" t="s">
        <v>103</v>
      </c>
      <c r="F3" s="22" t="s">
        <v>89</v>
      </c>
      <c r="H3" s="212" t="s">
        <v>15</v>
      </c>
      <c r="I3" s="41">
        <v>17</v>
      </c>
      <c r="J3" s="218">
        <v>19</v>
      </c>
      <c r="K3" s="218"/>
      <c r="L3" s="42">
        <v>8.4749999999999996</v>
      </c>
      <c r="M3" s="42">
        <v>15346611</v>
      </c>
      <c r="N3" s="43">
        <v>103.05</v>
      </c>
      <c r="O3" s="218">
        <v>149098</v>
      </c>
      <c r="P3" s="218"/>
      <c r="Q3" s="43">
        <v>1320</v>
      </c>
      <c r="R3" s="44">
        <f>$B$4/1.676</f>
        <v>1.79</v>
      </c>
      <c r="T3" s="23" t="s">
        <v>14</v>
      </c>
      <c r="U3" s="22" t="s">
        <v>81</v>
      </c>
      <c r="W3" s="21" t="s">
        <v>14</v>
      </c>
      <c r="X3" s="22" t="s">
        <v>59</v>
      </c>
      <c r="Z3" s="21" t="s">
        <v>14</v>
      </c>
      <c r="AA3" s="22" t="s">
        <v>59</v>
      </c>
    </row>
    <row r="4" spans="1:27">
      <c r="A4" s="23" t="s">
        <v>15</v>
      </c>
      <c r="B4" s="87">
        <v>3</v>
      </c>
      <c r="C4" s="92">
        <v>120</v>
      </c>
      <c r="D4" s="99">
        <v>90417</v>
      </c>
      <c r="E4" s="99">
        <v>83128</v>
      </c>
      <c r="F4" s="89">
        <v>3.0750000000000002</v>
      </c>
      <c r="H4" s="213"/>
      <c r="I4" s="26">
        <v>18</v>
      </c>
      <c r="J4" s="215">
        <v>20</v>
      </c>
      <c r="K4" s="215"/>
      <c r="L4" s="29">
        <v>8.0250000000000004</v>
      </c>
      <c r="M4" s="29">
        <v>15032445</v>
      </c>
      <c r="N4" s="25">
        <v>101.6</v>
      </c>
      <c r="O4" s="215">
        <v>147957</v>
      </c>
      <c r="P4" s="215"/>
      <c r="Q4" s="25">
        <v>1200</v>
      </c>
      <c r="R4" s="31">
        <f>$B$5/1.676</f>
        <v>1.641</v>
      </c>
      <c r="T4" s="23" t="s">
        <v>82</v>
      </c>
      <c r="U4" s="71">
        <v>7258</v>
      </c>
      <c r="W4" s="23" t="s">
        <v>66</v>
      </c>
      <c r="X4" s="71">
        <v>0</v>
      </c>
      <c r="Z4" s="23" t="s">
        <v>68</v>
      </c>
      <c r="AA4" s="71">
        <v>0</v>
      </c>
    </row>
    <row r="5" spans="1:27">
      <c r="A5" s="23" t="s">
        <v>16</v>
      </c>
      <c r="B5" s="87">
        <v>2.75</v>
      </c>
      <c r="C5" s="92">
        <v>140</v>
      </c>
      <c r="D5" s="99">
        <v>116313</v>
      </c>
      <c r="E5" s="99">
        <v>107182</v>
      </c>
      <c r="F5" s="89">
        <v>3.395</v>
      </c>
      <c r="H5" s="213"/>
      <c r="I5" s="26">
        <v>19</v>
      </c>
      <c r="J5" s="215">
        <v>21</v>
      </c>
      <c r="K5" s="215"/>
      <c r="L5" s="29">
        <v>7.5750000000000002</v>
      </c>
      <c r="M5" s="29">
        <v>14662263</v>
      </c>
      <c r="N5" s="25">
        <v>99.96</v>
      </c>
      <c r="O5" s="215">
        <v>146681</v>
      </c>
      <c r="P5" s="215"/>
      <c r="Q5" s="25">
        <v>1080</v>
      </c>
      <c r="R5" s="31">
        <f>$B$6/1.676</f>
        <v>1.492</v>
      </c>
      <c r="T5" s="23" t="s">
        <v>58</v>
      </c>
      <c r="U5" s="71">
        <v>7258</v>
      </c>
      <c r="W5" s="23" t="s">
        <v>98</v>
      </c>
      <c r="X5" s="71">
        <v>0</v>
      </c>
      <c r="Z5" s="23" t="s">
        <v>69</v>
      </c>
      <c r="AA5" s="71">
        <v>0</v>
      </c>
    </row>
    <row r="6" spans="1:27">
      <c r="A6" s="23" t="s">
        <v>17</v>
      </c>
      <c r="B6" s="87">
        <v>2.5</v>
      </c>
      <c r="C6" s="92">
        <v>142</v>
      </c>
      <c r="D6" s="99">
        <v>168669</v>
      </c>
      <c r="E6" s="99">
        <v>131018</v>
      </c>
      <c r="F6" s="89">
        <v>4.3239999999999998</v>
      </c>
      <c r="H6" s="213"/>
      <c r="I6" s="26">
        <v>20</v>
      </c>
      <c r="J6" s="215">
        <v>22</v>
      </c>
      <c r="K6" s="215"/>
      <c r="L6" s="29">
        <v>7.125</v>
      </c>
      <c r="M6" s="80">
        <v>14246880</v>
      </c>
      <c r="N6" s="25">
        <v>98.13</v>
      </c>
      <c r="O6" s="215">
        <v>145184</v>
      </c>
      <c r="P6" s="215"/>
      <c r="Q6" s="25">
        <v>960</v>
      </c>
      <c r="R6" s="31">
        <f>$B$7/1.676</f>
        <v>1.3420000000000001</v>
      </c>
      <c r="T6" s="23" t="s">
        <v>76</v>
      </c>
      <c r="U6" s="71">
        <v>14785.9</v>
      </c>
      <c r="W6" s="23" t="s">
        <v>75</v>
      </c>
      <c r="X6" s="71">
        <v>0</v>
      </c>
      <c r="Z6" s="23"/>
      <c r="AA6" s="71">
        <v>0</v>
      </c>
    </row>
    <row r="7" spans="1:27">
      <c r="A7" s="23" t="s">
        <v>18</v>
      </c>
      <c r="B7" s="87">
        <v>2.25</v>
      </c>
      <c r="C7" s="92">
        <v>150</v>
      </c>
      <c r="D7" s="99">
        <v>191821</v>
      </c>
      <c r="E7" s="99">
        <v>169939</v>
      </c>
      <c r="F7" s="89">
        <v>4.8040000000000003</v>
      </c>
      <c r="H7" s="213"/>
      <c r="I7" s="26">
        <v>21</v>
      </c>
      <c r="J7" s="215">
        <v>23</v>
      </c>
      <c r="K7" s="215"/>
      <c r="L7" s="29">
        <v>6.6749999999999998</v>
      </c>
      <c r="M7" s="29">
        <v>13777106</v>
      </c>
      <c r="N7" s="25">
        <v>96.05</v>
      </c>
      <c r="O7" s="215">
        <v>143436</v>
      </c>
      <c r="P7" s="215"/>
      <c r="Q7" s="25">
        <v>840</v>
      </c>
      <c r="R7" s="31">
        <f>$B$8/1.676</f>
        <v>1.1930000000000001</v>
      </c>
      <c r="T7" s="23"/>
      <c r="U7" s="71">
        <v>0</v>
      </c>
      <c r="W7" s="23"/>
      <c r="X7" s="71">
        <v>0</v>
      </c>
      <c r="Z7" s="23"/>
      <c r="AA7" s="71">
        <v>0</v>
      </c>
    </row>
    <row r="8" spans="1:27" ht="15.75" thickBot="1">
      <c r="A8" s="23" t="s">
        <v>19</v>
      </c>
      <c r="B8" s="87">
        <v>2</v>
      </c>
      <c r="C8" s="92">
        <v>160</v>
      </c>
      <c r="D8" s="99" t="s">
        <v>104</v>
      </c>
      <c r="E8" s="99">
        <v>181065.04</v>
      </c>
      <c r="F8" s="89">
        <v>5.1150000000000002</v>
      </c>
      <c r="H8" s="214"/>
      <c r="I8" s="27">
        <v>22</v>
      </c>
      <c r="J8" s="216">
        <v>24</v>
      </c>
      <c r="K8" s="216"/>
      <c r="L8" s="30">
        <v>6.2249999999999996</v>
      </c>
      <c r="M8" s="30">
        <v>13241173</v>
      </c>
      <c r="N8" s="28">
        <v>93.67</v>
      </c>
      <c r="O8" s="216">
        <v>141360</v>
      </c>
      <c r="P8" s="216"/>
      <c r="Q8" s="28">
        <v>720</v>
      </c>
      <c r="R8" s="32">
        <f>$B$9/1.676</f>
        <v>1.044</v>
      </c>
      <c r="T8" s="23"/>
      <c r="U8" s="71">
        <v>0</v>
      </c>
      <c r="W8" s="23"/>
      <c r="X8" s="71">
        <v>0</v>
      </c>
      <c r="Z8" s="23"/>
      <c r="AA8" s="71">
        <v>0</v>
      </c>
    </row>
    <row r="9" spans="1:27" ht="15.75" thickBot="1">
      <c r="A9" s="24" t="s">
        <v>20</v>
      </c>
      <c r="B9" s="88">
        <v>1.75</v>
      </c>
      <c r="C9" s="93">
        <v>180</v>
      </c>
      <c r="D9" s="100">
        <v>262343</v>
      </c>
      <c r="E9" s="100">
        <v>218774</v>
      </c>
      <c r="F9" s="90">
        <v>5.4749999999999996</v>
      </c>
      <c r="H9" s="213" t="s">
        <v>16</v>
      </c>
      <c r="I9" s="37">
        <v>20</v>
      </c>
      <c r="J9" s="217">
        <v>23</v>
      </c>
      <c r="K9" s="217"/>
      <c r="L9" s="38">
        <v>8.7949999999999999</v>
      </c>
      <c r="M9" s="38">
        <v>21921805</v>
      </c>
      <c r="N9" s="39">
        <v>117.4</v>
      </c>
      <c r="O9" s="217">
        <v>189727</v>
      </c>
      <c r="P9" s="217"/>
      <c r="Q9" s="39">
        <v>1600</v>
      </c>
      <c r="R9" s="40">
        <f>$B$4/1.676</f>
        <v>1.79</v>
      </c>
      <c r="T9" s="24"/>
      <c r="U9" s="71">
        <v>0</v>
      </c>
      <c r="W9" s="24"/>
      <c r="X9" s="71">
        <v>0</v>
      </c>
      <c r="Z9" s="24"/>
      <c r="AA9" s="71">
        <v>0</v>
      </c>
    </row>
    <row r="10" spans="1:27">
      <c r="H10" s="213"/>
      <c r="I10" s="26">
        <v>21</v>
      </c>
      <c r="J10" s="215">
        <v>24</v>
      </c>
      <c r="K10" s="215"/>
      <c r="L10" s="29">
        <v>8.3450000000000006</v>
      </c>
      <c r="M10" s="29">
        <v>21436151</v>
      </c>
      <c r="N10" s="25">
        <v>115.7</v>
      </c>
      <c r="O10" s="215">
        <v>185274</v>
      </c>
      <c r="P10" s="215"/>
      <c r="Q10" s="25">
        <v>1450</v>
      </c>
      <c r="R10" s="31">
        <f>$B$5/1.676</f>
        <v>1.641</v>
      </c>
    </row>
    <row r="11" spans="1:27">
      <c r="H11" s="213"/>
      <c r="I11" s="26">
        <v>22</v>
      </c>
      <c r="J11" s="215">
        <v>25</v>
      </c>
      <c r="K11" s="215"/>
      <c r="L11" s="29">
        <v>7.8949999999999996</v>
      </c>
      <c r="M11" s="29">
        <v>20896505</v>
      </c>
      <c r="N11" s="25">
        <v>113.8</v>
      </c>
      <c r="O11" s="215">
        <v>183625</v>
      </c>
      <c r="P11" s="215"/>
      <c r="Q11" s="25">
        <v>1310</v>
      </c>
      <c r="R11" s="31">
        <f>$B$6/1.676</f>
        <v>1.492</v>
      </c>
    </row>
    <row r="12" spans="1:27">
      <c r="H12" s="213"/>
      <c r="I12" s="26">
        <v>24</v>
      </c>
      <c r="J12" s="215">
        <v>26</v>
      </c>
      <c r="K12" s="215"/>
      <c r="L12" s="29">
        <v>7.4450000000000003</v>
      </c>
      <c r="M12" s="29">
        <v>20293107</v>
      </c>
      <c r="N12" s="25">
        <v>111.67</v>
      </c>
      <c r="O12" s="215">
        <v>181724</v>
      </c>
      <c r="P12" s="215"/>
      <c r="Q12" s="25">
        <v>1170</v>
      </c>
      <c r="R12" s="31">
        <f>$B$7/1.676</f>
        <v>1.3420000000000001</v>
      </c>
    </row>
    <row r="13" spans="1:27">
      <c r="H13" s="213"/>
      <c r="I13" s="26">
        <v>25.5</v>
      </c>
      <c r="J13" s="215">
        <v>27.5</v>
      </c>
      <c r="K13" s="215"/>
      <c r="L13" s="29">
        <v>6.9950000000000001</v>
      </c>
      <c r="M13" s="29">
        <v>19613642</v>
      </c>
      <c r="N13" s="25">
        <v>109.27</v>
      </c>
      <c r="O13" s="215">
        <v>179497</v>
      </c>
      <c r="P13" s="215"/>
      <c r="Q13" s="25">
        <v>1020</v>
      </c>
      <c r="R13" s="31">
        <f>$B$8/1.676</f>
        <v>1.1930000000000001</v>
      </c>
    </row>
    <row r="14" spans="1:27" ht="15.75" thickBot="1">
      <c r="H14" s="213"/>
      <c r="I14" s="33">
        <v>27</v>
      </c>
      <c r="J14" s="219">
        <v>29</v>
      </c>
      <c r="K14" s="219"/>
      <c r="L14" s="34">
        <v>6.5449999999999999</v>
      </c>
      <c r="M14" s="82">
        <v>18842400</v>
      </c>
      <c r="N14" s="35">
        <v>106.54</v>
      </c>
      <c r="O14" s="219">
        <v>176858</v>
      </c>
      <c r="P14" s="219"/>
      <c r="Q14" s="35">
        <v>880</v>
      </c>
      <c r="R14" s="36">
        <f>$B$9/1.676</f>
        <v>1.044</v>
      </c>
    </row>
    <row r="15" spans="1:27">
      <c r="H15" s="212" t="s">
        <v>17</v>
      </c>
      <c r="I15" s="41">
        <v>25</v>
      </c>
      <c r="J15" s="218">
        <v>28</v>
      </c>
      <c r="K15" s="218"/>
      <c r="L15" s="42">
        <v>9.7240000000000002</v>
      </c>
      <c r="M15" s="42">
        <v>29603176</v>
      </c>
      <c r="N15" s="43">
        <v>111.46</v>
      </c>
      <c r="O15" s="218">
        <v>265595</v>
      </c>
      <c r="P15" s="218"/>
      <c r="Q15" s="43">
        <v>1460</v>
      </c>
      <c r="R15" s="44">
        <f>$B$4/1.676</f>
        <v>1.79</v>
      </c>
    </row>
    <row r="16" spans="1:27">
      <c r="H16" s="213"/>
      <c r="I16" s="26">
        <v>26.5</v>
      </c>
      <c r="J16" s="215">
        <v>29</v>
      </c>
      <c r="K16" s="215"/>
      <c r="L16" s="29">
        <v>9.2739999999999991</v>
      </c>
      <c r="M16" s="29">
        <v>28853348</v>
      </c>
      <c r="N16" s="25">
        <v>109.54</v>
      </c>
      <c r="O16" s="215">
        <v>263402</v>
      </c>
      <c r="P16" s="215"/>
      <c r="Q16" s="25">
        <v>1310</v>
      </c>
      <c r="R16" s="31">
        <f>$B$5/1.676</f>
        <v>1.641</v>
      </c>
    </row>
    <row r="17" spans="8:18">
      <c r="H17" s="213"/>
      <c r="I17" s="26">
        <v>28</v>
      </c>
      <c r="J17" s="215">
        <v>30</v>
      </c>
      <c r="K17" s="215"/>
      <c r="L17" s="29">
        <v>8.8239999999999998</v>
      </c>
      <c r="M17" s="80">
        <v>28028280</v>
      </c>
      <c r="N17" s="25">
        <v>107.43</v>
      </c>
      <c r="O17" s="215">
        <v>260906</v>
      </c>
      <c r="P17" s="215"/>
      <c r="Q17" s="25">
        <v>1180</v>
      </c>
      <c r="R17" s="31">
        <f>$B$6/1.676</f>
        <v>1.492</v>
      </c>
    </row>
    <row r="18" spans="8:18">
      <c r="H18" s="213"/>
      <c r="I18" s="26">
        <v>29</v>
      </c>
      <c r="J18" s="215">
        <v>31</v>
      </c>
      <c r="K18" s="215"/>
      <c r="L18" s="29">
        <v>8.7370000000000001</v>
      </c>
      <c r="M18" s="29">
        <v>27115839</v>
      </c>
      <c r="N18" s="25">
        <v>105.09</v>
      </c>
      <c r="O18" s="215">
        <v>258036</v>
      </c>
      <c r="P18" s="215"/>
      <c r="Q18" s="25">
        <v>1050</v>
      </c>
      <c r="R18" s="31">
        <f>$B$7/1.676</f>
        <v>1.3420000000000001</v>
      </c>
    </row>
    <row r="19" spans="8:18">
      <c r="H19" s="213"/>
      <c r="I19" s="26">
        <v>30</v>
      </c>
      <c r="J19" s="215">
        <v>32</v>
      </c>
      <c r="K19" s="215"/>
      <c r="L19" s="29">
        <v>7.9240000000000004</v>
      </c>
      <c r="M19" s="29">
        <v>26101142</v>
      </c>
      <c r="N19" s="25">
        <v>102.48</v>
      </c>
      <c r="O19" s="215">
        <v>254700</v>
      </c>
      <c r="P19" s="215"/>
      <c r="Q19" s="25">
        <v>910</v>
      </c>
      <c r="R19" s="31">
        <f>$B$8/1.676</f>
        <v>1.1930000000000001</v>
      </c>
    </row>
    <row r="20" spans="8:18" ht="15.75" thickBot="1">
      <c r="H20" s="214"/>
      <c r="I20" s="27">
        <v>31</v>
      </c>
      <c r="J20" s="216">
        <v>33</v>
      </c>
      <c r="K20" s="216"/>
      <c r="L20" s="30">
        <v>7.4740000000000002</v>
      </c>
      <c r="M20" s="30">
        <v>24965716</v>
      </c>
      <c r="N20" s="28">
        <v>99.56</v>
      </c>
      <c r="O20" s="216">
        <v>250770</v>
      </c>
      <c r="P20" s="216"/>
      <c r="Q20" s="28">
        <v>780</v>
      </c>
      <c r="R20" s="32">
        <f>$B$9/1.676</f>
        <v>1.044</v>
      </c>
    </row>
    <row r="21" spans="8:18">
      <c r="H21" s="213" t="s">
        <v>18</v>
      </c>
      <c r="I21" s="37">
        <v>26</v>
      </c>
      <c r="J21" s="217">
        <v>29</v>
      </c>
      <c r="K21" s="217"/>
      <c r="L21" s="38">
        <v>10.204000000000001</v>
      </c>
      <c r="M21" s="81">
        <v>33590030</v>
      </c>
      <c r="N21" s="39">
        <v>117.32</v>
      </c>
      <c r="O21" s="217">
        <v>286345</v>
      </c>
      <c r="P21" s="217"/>
      <c r="Q21" s="39">
        <v>1570</v>
      </c>
      <c r="R21" s="40">
        <f>$B$4/1.676</f>
        <v>1.79</v>
      </c>
    </row>
    <row r="22" spans="8:18">
      <c r="H22" s="213"/>
      <c r="I22" s="26">
        <v>27</v>
      </c>
      <c r="J22" s="215">
        <v>30</v>
      </c>
      <c r="K22" s="215"/>
      <c r="L22" s="29">
        <v>9.7539999999999996</v>
      </c>
      <c r="M22" s="80">
        <v>32760010</v>
      </c>
      <c r="N22" s="25">
        <v>115.4</v>
      </c>
      <c r="O22" s="215">
        <v>283893</v>
      </c>
      <c r="P22" s="215"/>
      <c r="Q22" s="25">
        <v>1430</v>
      </c>
      <c r="R22" s="31">
        <f>$B$5/1.676</f>
        <v>1.641</v>
      </c>
    </row>
    <row r="23" spans="8:18">
      <c r="H23" s="213"/>
      <c r="I23" s="26">
        <v>28</v>
      </c>
      <c r="J23" s="215">
        <v>31.5</v>
      </c>
      <c r="K23" s="215"/>
      <c r="L23" s="29">
        <v>9.3040000000000003</v>
      </c>
      <c r="M23" s="29">
        <v>31850853</v>
      </c>
      <c r="N23" s="25">
        <v>113.29</v>
      </c>
      <c r="O23" s="215">
        <v>281153</v>
      </c>
      <c r="P23" s="215"/>
      <c r="Q23" s="25">
        <v>1290</v>
      </c>
      <c r="R23" s="31">
        <f>$B$6/1.676</f>
        <v>1.492</v>
      </c>
    </row>
    <row r="24" spans="8:18">
      <c r="H24" s="213"/>
      <c r="I24" s="26">
        <v>30</v>
      </c>
      <c r="J24" s="215">
        <v>33</v>
      </c>
      <c r="K24" s="215"/>
      <c r="L24" s="29">
        <v>8.8539999999999992</v>
      </c>
      <c r="M24" s="29">
        <v>30850534</v>
      </c>
      <c r="N24" s="25">
        <v>110.96</v>
      </c>
      <c r="O24" s="215">
        <v>278026</v>
      </c>
      <c r="P24" s="215"/>
      <c r="Q24" s="25">
        <v>1140</v>
      </c>
      <c r="R24" s="31">
        <f>$B$7/1.676</f>
        <v>1.3420000000000001</v>
      </c>
    </row>
    <row r="25" spans="8:18">
      <c r="H25" s="213"/>
      <c r="I25" s="26">
        <v>31.5</v>
      </c>
      <c r="J25" s="215">
        <v>34</v>
      </c>
      <c r="K25" s="215"/>
      <c r="L25" s="29">
        <v>8.4039999999999999</v>
      </c>
      <c r="M25" s="29">
        <v>29744385</v>
      </c>
      <c r="N25" s="25">
        <v>108.39</v>
      </c>
      <c r="O25" s="215">
        <v>274418</v>
      </c>
      <c r="P25" s="215"/>
      <c r="Q25" s="25">
        <v>1000</v>
      </c>
      <c r="R25" s="31">
        <f>$B$8/1.676</f>
        <v>1.1930000000000001</v>
      </c>
    </row>
    <row r="26" spans="8:18" ht="15.75" thickBot="1">
      <c r="H26" s="214"/>
      <c r="I26" s="27">
        <v>33.5</v>
      </c>
      <c r="J26" s="216">
        <v>35.5</v>
      </c>
      <c r="K26" s="216"/>
      <c r="L26" s="30">
        <v>7.9539999999999997</v>
      </c>
      <c r="M26" s="30">
        <v>28514435</v>
      </c>
      <c r="N26" s="28">
        <v>105.53</v>
      </c>
      <c r="O26" s="216">
        <v>270208</v>
      </c>
      <c r="P26" s="216"/>
      <c r="Q26" s="28">
        <v>860</v>
      </c>
      <c r="R26" s="31">
        <f>$B$9/1.676</f>
        <v>1.044</v>
      </c>
    </row>
    <row r="27" spans="8:18">
      <c r="H27" s="212" t="s">
        <v>19</v>
      </c>
      <c r="I27" s="26">
        <v>28</v>
      </c>
      <c r="J27" s="215">
        <v>31</v>
      </c>
      <c r="K27" s="215"/>
      <c r="L27" s="29">
        <v>10.515000000000001</v>
      </c>
      <c r="M27" s="29">
        <v>40287952</v>
      </c>
      <c r="N27" s="25">
        <v>122.17</v>
      </c>
      <c r="O27" s="215">
        <v>329770</v>
      </c>
      <c r="P27" s="215"/>
      <c r="Q27" s="25">
        <v>1710</v>
      </c>
      <c r="R27" s="31">
        <f>$B$4/1.676</f>
        <v>1.79</v>
      </c>
    </row>
    <row r="28" spans="8:18">
      <c r="H28" s="213"/>
      <c r="I28" s="26">
        <v>30</v>
      </c>
      <c r="J28" s="215">
        <v>33</v>
      </c>
      <c r="K28" s="215"/>
      <c r="L28" s="29">
        <v>10.065</v>
      </c>
      <c r="M28" s="29">
        <v>39244922</v>
      </c>
      <c r="N28" s="25">
        <v>120.08</v>
      </c>
      <c r="O28" s="215">
        <v>326825</v>
      </c>
      <c r="P28" s="215"/>
      <c r="Q28" s="25">
        <v>1560</v>
      </c>
      <c r="R28" s="31">
        <f>$B$5/1.676</f>
        <v>1.641</v>
      </c>
    </row>
    <row r="29" spans="8:18">
      <c r="H29" s="213"/>
      <c r="I29" s="26">
        <v>32</v>
      </c>
      <c r="J29" s="215">
        <v>34.5</v>
      </c>
      <c r="K29" s="215"/>
      <c r="L29" s="29">
        <v>9.6150000000000002</v>
      </c>
      <c r="M29" s="80">
        <v>38105420</v>
      </c>
      <c r="N29" s="25">
        <v>117.79</v>
      </c>
      <c r="O29" s="215">
        <v>323504</v>
      </c>
      <c r="P29" s="215"/>
      <c r="Q29" s="25">
        <v>1410</v>
      </c>
      <c r="R29" s="31">
        <f>$B$6/1.676</f>
        <v>1.492</v>
      </c>
    </row>
    <row r="30" spans="8:18">
      <c r="H30" s="213"/>
      <c r="I30" s="26">
        <v>33</v>
      </c>
      <c r="J30" s="215">
        <v>36</v>
      </c>
      <c r="K30" s="215"/>
      <c r="L30" s="29">
        <v>9.1649999999999991</v>
      </c>
      <c r="M30" s="80">
        <v>36855190</v>
      </c>
      <c r="N30" s="25">
        <v>115.28</v>
      </c>
      <c r="O30" s="215">
        <v>319702</v>
      </c>
      <c r="P30" s="215"/>
      <c r="Q30" s="25">
        <v>1260</v>
      </c>
      <c r="R30" s="31">
        <f>$B$7/1.676</f>
        <v>1.3420000000000001</v>
      </c>
    </row>
    <row r="31" spans="8:18">
      <c r="H31" s="213"/>
      <c r="I31" s="26">
        <v>34.5</v>
      </c>
      <c r="J31" s="215">
        <v>37</v>
      </c>
      <c r="K31" s="215"/>
      <c r="L31" s="29">
        <v>8.7149999999999999</v>
      </c>
      <c r="M31" s="29">
        <v>35855198</v>
      </c>
      <c r="N31" s="25">
        <v>112.5</v>
      </c>
      <c r="O31" s="215">
        <v>315352</v>
      </c>
      <c r="P31" s="215"/>
      <c r="Q31" s="25">
        <v>1110</v>
      </c>
      <c r="R31" s="31">
        <f>$B$8/1.676</f>
        <v>1.1930000000000001</v>
      </c>
    </row>
    <row r="32" spans="8:18" ht="15.75" thickBot="1">
      <c r="H32" s="214"/>
      <c r="I32" s="27">
        <v>35.5</v>
      </c>
      <c r="J32" s="216">
        <v>38</v>
      </c>
      <c r="K32" s="216"/>
      <c r="L32" s="30">
        <v>8.2650000000000006</v>
      </c>
      <c r="M32" s="30">
        <v>33950322</v>
      </c>
      <c r="N32" s="28">
        <v>109.43</v>
      </c>
      <c r="O32" s="216">
        <v>310247</v>
      </c>
      <c r="P32" s="216"/>
      <c r="Q32" s="28">
        <v>955</v>
      </c>
      <c r="R32" s="31">
        <f>$B$9/1.676</f>
        <v>1.044</v>
      </c>
    </row>
    <row r="33" spans="8:18">
      <c r="H33" s="212" t="s">
        <v>20</v>
      </c>
      <c r="I33" s="26">
        <v>31</v>
      </c>
      <c r="J33" s="215">
        <v>34.5</v>
      </c>
      <c r="K33" s="215"/>
      <c r="L33" s="29">
        <v>10.875</v>
      </c>
      <c r="M33" s="80">
        <v>52831430</v>
      </c>
      <c r="N33" s="25">
        <v>135.06</v>
      </c>
      <c r="O33" s="215">
        <v>391170</v>
      </c>
      <c r="P33" s="215"/>
      <c r="Q33" s="25">
        <v>2000</v>
      </c>
      <c r="R33" s="31">
        <f>$B$4/1.676</f>
        <v>1.79</v>
      </c>
    </row>
    <row r="34" spans="8:18">
      <c r="H34" s="213"/>
      <c r="I34" s="26">
        <v>32</v>
      </c>
      <c r="J34" s="215">
        <v>36</v>
      </c>
      <c r="K34" s="215"/>
      <c r="L34" s="29">
        <v>10.425000000000001</v>
      </c>
      <c r="M34" s="29">
        <v>51453252</v>
      </c>
      <c r="N34" s="25">
        <v>132.72999999999999</v>
      </c>
      <c r="O34" s="215">
        <v>387654</v>
      </c>
      <c r="P34" s="215"/>
      <c r="Q34" s="25">
        <v>1825</v>
      </c>
      <c r="R34" s="31">
        <f>$B$5/1.676</f>
        <v>1.641</v>
      </c>
    </row>
    <row r="35" spans="8:18">
      <c r="H35" s="213"/>
      <c r="I35" s="26">
        <v>34</v>
      </c>
      <c r="J35" s="215">
        <v>38</v>
      </c>
      <c r="K35" s="215"/>
      <c r="L35" s="29">
        <v>9.9749999999999996</v>
      </c>
      <c r="M35" s="29">
        <v>49951807</v>
      </c>
      <c r="N35" s="25">
        <v>130.19</v>
      </c>
      <c r="O35" s="215">
        <v>383684</v>
      </c>
      <c r="P35" s="215"/>
      <c r="Q35" s="25">
        <v>1650</v>
      </c>
      <c r="R35" s="31">
        <f>$B$6/1.676</f>
        <v>1.492</v>
      </c>
    </row>
    <row r="36" spans="8:18">
      <c r="H36" s="213"/>
      <c r="I36" s="26">
        <v>35.5</v>
      </c>
      <c r="J36" s="215">
        <v>39</v>
      </c>
      <c r="K36" s="215"/>
      <c r="L36" s="29">
        <v>9.5250000000000004</v>
      </c>
      <c r="M36" s="29">
        <v>48309657</v>
      </c>
      <c r="N36" s="25">
        <v>127.41</v>
      </c>
      <c r="O36" s="215">
        <v>379168</v>
      </c>
      <c r="P36" s="215"/>
      <c r="Q36" s="25">
        <v>14700</v>
      </c>
      <c r="R36" s="31">
        <f>$B$7/1.676</f>
        <v>1.3420000000000001</v>
      </c>
    </row>
    <row r="37" spans="8:18">
      <c r="H37" s="213"/>
      <c r="I37" s="26">
        <v>37</v>
      </c>
      <c r="J37" s="215">
        <v>40</v>
      </c>
      <c r="K37" s="215"/>
      <c r="L37" s="29">
        <v>9.0749999999999993</v>
      </c>
      <c r="M37" s="29">
        <v>46505843</v>
      </c>
      <c r="N37" s="25">
        <v>124.36</v>
      </c>
      <c r="O37" s="215">
        <v>373961</v>
      </c>
      <c r="P37" s="215"/>
      <c r="Q37" s="25">
        <v>1290</v>
      </c>
      <c r="R37" s="31">
        <f>$B$8/1.676</f>
        <v>1.1930000000000001</v>
      </c>
    </row>
    <row r="38" spans="8:18" ht="15.75" thickBot="1">
      <c r="H38" s="214"/>
      <c r="I38" s="27">
        <v>38</v>
      </c>
      <c r="J38" s="216">
        <v>41</v>
      </c>
      <c r="K38" s="216"/>
      <c r="L38" s="30">
        <v>8.625</v>
      </c>
      <c r="M38" s="30">
        <v>44515092</v>
      </c>
      <c r="N38" s="28">
        <v>120.98</v>
      </c>
      <c r="O38" s="216">
        <v>367954</v>
      </c>
      <c r="P38" s="216"/>
      <c r="Q38" s="28">
        <v>1115</v>
      </c>
      <c r="R38" s="31">
        <f>$B$9/1.676</f>
        <v>1.044</v>
      </c>
    </row>
  </sheetData>
  <mergeCells count="85">
    <mergeCell ref="A2:F2"/>
    <mergeCell ref="W2:X2"/>
    <mergeCell ref="Z2:AA2"/>
    <mergeCell ref="O2:P2"/>
    <mergeCell ref="O8:P8"/>
    <mergeCell ref="T2:U2"/>
    <mergeCell ref="H3:H8"/>
    <mergeCell ref="J3:K3"/>
    <mergeCell ref="O4:P4"/>
    <mergeCell ref="O5:P5"/>
    <mergeCell ref="O6:P6"/>
    <mergeCell ref="L1:P1"/>
    <mergeCell ref="H9:H14"/>
    <mergeCell ref="J9:K9"/>
    <mergeCell ref="O9:P9"/>
    <mergeCell ref="J10:K10"/>
    <mergeCell ref="O10:P10"/>
    <mergeCell ref="J11:K11"/>
    <mergeCell ref="O11:P11"/>
    <mergeCell ref="J4:K4"/>
    <mergeCell ref="J5:K5"/>
    <mergeCell ref="J6:K6"/>
    <mergeCell ref="J7:K7"/>
    <mergeCell ref="J8:K8"/>
    <mergeCell ref="O3:P3"/>
    <mergeCell ref="O7:P7"/>
    <mergeCell ref="J2:K2"/>
    <mergeCell ref="J12:K12"/>
    <mergeCell ref="O12:P12"/>
    <mergeCell ref="J13:K13"/>
    <mergeCell ref="O13:P13"/>
    <mergeCell ref="J14:K14"/>
    <mergeCell ref="O14:P14"/>
    <mergeCell ref="H15:H20"/>
    <mergeCell ref="J15:K15"/>
    <mergeCell ref="O15:P15"/>
    <mergeCell ref="J16:K16"/>
    <mergeCell ref="O16:P16"/>
    <mergeCell ref="J17:K17"/>
    <mergeCell ref="O17:P17"/>
    <mergeCell ref="J18:K18"/>
    <mergeCell ref="O18:P18"/>
    <mergeCell ref="J19:K19"/>
    <mergeCell ref="O19:P19"/>
    <mergeCell ref="J20:K20"/>
    <mergeCell ref="O20:P20"/>
    <mergeCell ref="H21:H26"/>
    <mergeCell ref="J21:K21"/>
    <mergeCell ref="O21:P21"/>
    <mergeCell ref="J22:K22"/>
    <mergeCell ref="O22:P22"/>
    <mergeCell ref="J23:K23"/>
    <mergeCell ref="O23:P23"/>
    <mergeCell ref="J24:K24"/>
    <mergeCell ref="O24:P24"/>
    <mergeCell ref="J25:K25"/>
    <mergeCell ref="O25:P25"/>
    <mergeCell ref="J26:K26"/>
    <mergeCell ref="O26:P26"/>
    <mergeCell ref="H27:H32"/>
    <mergeCell ref="J27:K27"/>
    <mergeCell ref="O27:P27"/>
    <mergeCell ref="J28:K28"/>
    <mergeCell ref="O28:P28"/>
    <mergeCell ref="J29:K29"/>
    <mergeCell ref="O29:P29"/>
    <mergeCell ref="J30:K30"/>
    <mergeCell ref="O30:P30"/>
    <mergeCell ref="J31:K31"/>
    <mergeCell ref="O31:P31"/>
    <mergeCell ref="J32:K32"/>
    <mergeCell ref="O32:P32"/>
    <mergeCell ref="H33:H38"/>
    <mergeCell ref="J33:K33"/>
    <mergeCell ref="O33:P33"/>
    <mergeCell ref="J34:K34"/>
    <mergeCell ref="O34:P34"/>
    <mergeCell ref="J35:K35"/>
    <mergeCell ref="O35:P35"/>
    <mergeCell ref="J36:K36"/>
    <mergeCell ref="O36:P36"/>
    <mergeCell ref="J37:K37"/>
    <mergeCell ref="O37:P37"/>
    <mergeCell ref="J38:K38"/>
    <mergeCell ref="O38:P3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TABLERO PRETENSADO</vt:lpstr>
      <vt:lpstr>TABLERO ACERO</vt:lpstr>
      <vt:lpstr>Generador de Vigas de Acero</vt:lpstr>
      <vt:lpstr>BASE DE DATOS</vt:lpstr>
      <vt:lpstr>'Generador de Vigas de Acero'!Títulos_a_imprimir</vt:lpstr>
      <vt:lpstr>'TABLERO ACERO'!Títulos_a_imprimir</vt:lpstr>
      <vt:lpstr>'TABLERO PRETENSADO'!Títulos_a_imprimir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GUIA</dc:creator>
  <cp:lastModifiedBy>MANUEL GUIA</cp:lastModifiedBy>
  <cp:lastPrinted>2012-01-02T21:30:54Z</cp:lastPrinted>
  <dcterms:created xsi:type="dcterms:W3CDTF">2011-12-09T03:11:15Z</dcterms:created>
  <dcterms:modified xsi:type="dcterms:W3CDTF">2012-01-03T23:28:58Z</dcterms:modified>
</cp:coreProperties>
</file>