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49A" lockStructure="1"/>
  <bookViews>
    <workbookView xWindow="240" yWindow="315" windowWidth="20115" windowHeight="7755" tabRatio="803" firstSheet="1" activeTab="1"/>
  </bookViews>
  <sheets>
    <sheet name="EDIFICIO 10 NIVELES" sheetId="1" state="hidden" r:id="rId1"/>
    <sheet name="VIGA DOBLE ARMADA" sheetId="10" r:id="rId2"/>
  </sheets>
  <calcPr calcId="145621"/>
</workbook>
</file>

<file path=xl/calcChain.xml><?xml version="1.0" encoding="utf-8"?>
<calcChain xmlns="http://schemas.openxmlformats.org/spreadsheetml/2006/main">
  <c r="I106" i="10" l="1"/>
  <c r="E113" i="10" s="1"/>
  <c r="H105" i="10"/>
  <c r="D88" i="10"/>
  <c r="H93" i="10"/>
  <c r="H86" i="10"/>
  <c r="H77" i="10"/>
  <c r="D68" i="10"/>
  <c r="F52" i="10"/>
  <c r="E48" i="10"/>
  <c r="G52" i="10" s="1"/>
  <c r="D42" i="10"/>
  <c r="E34" i="10"/>
  <c r="E106" i="10" s="1"/>
  <c r="G106" i="10" s="1"/>
  <c r="F108" i="10" s="1"/>
  <c r="E33" i="10"/>
  <c r="E105" i="10" s="1"/>
  <c r="D33" i="10"/>
  <c r="D36" i="10" s="1"/>
  <c r="J13" i="10"/>
  <c r="D9" i="10"/>
  <c r="I8" i="10"/>
  <c r="E108" i="10" l="1"/>
  <c r="G51" i="10"/>
  <c r="F60" i="10" s="1"/>
  <c r="F77" i="10" s="1"/>
  <c r="G34" i="10"/>
  <c r="D37" i="10" s="1"/>
  <c r="J106" i="10"/>
  <c r="F113" i="10" s="1"/>
  <c r="E36" i="10"/>
  <c r="E42" i="10" s="1"/>
  <c r="F42" i="10" s="1"/>
  <c r="D48" i="10" s="1"/>
  <c r="D105" i="10"/>
  <c r="D108" i="10" s="1"/>
  <c r="H106" i="10"/>
  <c r="G108" i="10" s="1"/>
  <c r="F48" i="10"/>
  <c r="L8" i="10"/>
  <c r="G48" i="10" l="1"/>
  <c r="G60" i="10"/>
  <c r="G77" i="10" s="1"/>
  <c r="F51" i="10" l="1"/>
  <c r="H51" i="10" s="1"/>
  <c r="H60" i="10" s="1"/>
  <c r="E81" i="10"/>
  <c r="E60" i="10"/>
  <c r="J60" i="10" l="1"/>
  <c r="E68" i="10" s="1"/>
  <c r="G68" i="10" s="1"/>
  <c r="F76" i="10" s="1"/>
  <c r="I76" i="10" s="1"/>
  <c r="F81" i="10" l="1"/>
  <c r="H81" i="10" s="1"/>
  <c r="H85" i="10"/>
  <c r="H92" i="10" l="1"/>
  <c r="H94" i="10" s="1"/>
  <c r="E112" i="10"/>
  <c r="G112" i="10" s="1"/>
  <c r="I105" i="10"/>
  <c r="H108" i="10" s="1"/>
  <c r="D109" i="10" s="1"/>
  <c r="H87" i="10"/>
  <c r="M110" i="10" l="1"/>
  <c r="K110" i="10"/>
  <c r="C199" i="1" l="1"/>
  <c r="C198" i="1"/>
  <c r="C333" i="1" l="1"/>
  <c r="C324" i="1"/>
  <c r="C326" i="1" s="1"/>
  <c r="H337" i="1" s="1"/>
  <c r="I337" i="1" s="1"/>
  <c r="H315" i="1"/>
  <c r="I315" i="1" s="1"/>
  <c r="G317" i="1" s="1"/>
  <c r="G315" i="1"/>
  <c r="F270" i="1"/>
  <c r="F257" i="1"/>
  <c r="F229" i="1"/>
  <c r="D229" i="1"/>
  <c r="E218" i="1"/>
  <c r="D299" i="1" s="1"/>
  <c r="F299" i="1" s="1"/>
  <c r="E217" i="1"/>
  <c r="G244" i="1" s="1"/>
  <c r="D224" i="1" l="1"/>
  <c r="E300" i="1"/>
  <c r="F339" i="1"/>
  <c r="F337" i="1"/>
  <c r="F324" i="1"/>
  <c r="F325" i="1"/>
  <c r="G331" i="1"/>
  <c r="C303" i="1"/>
  <c r="D303" i="1" s="1"/>
  <c r="C305" i="1" s="1"/>
  <c r="C307" i="1" s="1"/>
  <c r="G299" i="1"/>
  <c r="G245" i="1"/>
  <c r="E169" i="1" l="1"/>
  <c r="H183" i="1"/>
  <c r="H154" i="1"/>
  <c r="G154" i="1"/>
  <c r="D137" i="1"/>
  <c r="H131" i="1"/>
  <c r="H113" i="1"/>
  <c r="G113" i="1"/>
  <c r="F113" i="1"/>
  <c r="E113" i="1"/>
  <c r="F129" i="1"/>
  <c r="G129" i="1"/>
  <c r="D97" i="1"/>
  <c r="D55" i="1"/>
  <c r="O17" i="1"/>
  <c r="L201" i="1" l="1"/>
  <c r="E216" i="1"/>
  <c r="F224" i="1" s="1"/>
  <c r="D198" i="1"/>
  <c r="I195" i="1"/>
  <c r="K201" i="1" s="1"/>
  <c r="G156" i="1"/>
  <c r="F161" i="1" s="1"/>
  <c r="I129" i="1"/>
  <c r="E115" i="1"/>
  <c r="C206" i="1" l="1"/>
  <c r="C203" i="1"/>
  <c r="C205" i="1" s="1"/>
  <c r="E123" i="1"/>
  <c r="K136" i="1"/>
  <c r="I201" i="1"/>
  <c r="B201" i="1" s="1"/>
  <c r="G203" i="1" s="1"/>
  <c r="N172" i="1"/>
  <c r="E145" i="1"/>
  <c r="D211" i="1" s="1"/>
  <c r="D143" i="1"/>
  <c r="I131" i="1"/>
  <c r="E104" i="1"/>
  <c r="D162" i="1" l="1"/>
  <c r="F145" i="1"/>
  <c r="H257" i="1"/>
  <c r="H270" i="1" s="1"/>
  <c r="D131" i="1"/>
  <c r="J195" i="1"/>
  <c r="H172" i="1"/>
  <c r="D169" i="1"/>
  <c r="E143" i="1"/>
  <c r="E33" i="1"/>
  <c r="E34" i="1"/>
  <c r="M86" i="1"/>
  <c r="J86" i="1"/>
  <c r="H86" i="1"/>
  <c r="D50" i="1"/>
  <c r="D51" i="1"/>
  <c r="D52" i="1"/>
  <c r="D53" i="1"/>
  <c r="D54" i="1"/>
  <c r="D56" i="1"/>
  <c r="D49" i="1"/>
  <c r="D48" i="1"/>
  <c r="D47" i="1"/>
  <c r="G55" i="1"/>
  <c r="G80" i="1" s="1"/>
  <c r="F55" i="1"/>
  <c r="F80" i="1" s="1"/>
  <c r="G52" i="1"/>
  <c r="G77" i="1" s="1"/>
  <c r="F52" i="1"/>
  <c r="F77" i="1" s="1"/>
  <c r="G49" i="1"/>
  <c r="G74" i="1" s="1"/>
  <c r="F49" i="1"/>
  <c r="F74" i="1" s="1"/>
  <c r="G54" i="1"/>
  <c r="G79" i="1" s="1"/>
  <c r="F54" i="1"/>
  <c r="F79" i="1" s="1"/>
  <c r="G51" i="1"/>
  <c r="G76" i="1" s="1"/>
  <c r="F51" i="1"/>
  <c r="G48" i="1"/>
  <c r="G73" i="1" s="1"/>
  <c r="F48" i="1"/>
  <c r="F73" i="1" s="1"/>
  <c r="O61" i="1"/>
  <c r="M61" i="1"/>
  <c r="J61" i="1"/>
  <c r="H61" i="1"/>
  <c r="E162" i="1" l="1"/>
  <c r="C330" i="1"/>
  <c r="E325" i="1" s="1"/>
  <c r="F327" i="1" s="1"/>
  <c r="G330" i="1" s="1"/>
  <c r="F333" i="1" s="1"/>
  <c r="D184" i="1"/>
  <c r="C186" i="1" s="1"/>
  <c r="E215" i="1"/>
  <c r="E224" i="1" s="1"/>
  <c r="B227" i="1" s="1"/>
  <c r="K142" i="1"/>
  <c r="N142" i="1" s="1"/>
  <c r="F136" i="1"/>
  <c r="F142" i="1" s="1"/>
  <c r="D171" i="1"/>
  <c r="F305" i="1" s="1"/>
  <c r="F307" i="1" s="1"/>
  <c r="E264" i="1"/>
  <c r="G257" i="1"/>
  <c r="P172" i="1"/>
  <c r="L174" i="1" s="1"/>
  <c r="I49" i="1"/>
  <c r="P55" i="1"/>
  <c r="N55" i="1"/>
  <c r="I55" i="1"/>
  <c r="N80" i="1"/>
  <c r="P52" i="1"/>
  <c r="I52" i="1"/>
  <c r="I80" i="1"/>
  <c r="K55" i="1"/>
  <c r="K80" i="1"/>
  <c r="K52" i="1"/>
  <c r="N52" i="1"/>
  <c r="F76" i="1"/>
  <c r="I74" i="1"/>
  <c r="N74" i="1"/>
  <c r="K74" i="1"/>
  <c r="K49" i="1"/>
  <c r="N49" i="1"/>
  <c r="P49" i="1"/>
  <c r="G333" i="1" l="1"/>
  <c r="G334" i="1"/>
  <c r="D307" i="1"/>
  <c r="G307" i="1"/>
  <c r="N136" i="1"/>
  <c r="F258" i="1"/>
  <c r="G260" i="1" s="1"/>
  <c r="F262" i="1" s="1"/>
  <c r="G262" i="1" s="1"/>
  <c r="G270" i="1"/>
  <c r="F271" i="1" s="1"/>
  <c r="G273" i="1" s="1"/>
  <c r="F275" i="1" s="1"/>
  <c r="G275" i="1" s="1"/>
  <c r="E277" i="1"/>
  <c r="C175" i="1"/>
  <c r="I172" i="1"/>
  <c r="N77" i="1"/>
  <c r="I77" i="1"/>
  <c r="K77" i="1"/>
  <c r="P32" i="1"/>
  <c r="E211" i="1" l="1"/>
  <c r="F211" i="1" s="1"/>
  <c r="H211" i="1" s="1"/>
  <c r="C183" i="1"/>
  <c r="B186" i="1" s="1"/>
  <c r="E278" i="1"/>
  <c r="I278" i="1" s="1"/>
  <c r="G280" i="1" s="1"/>
  <c r="G290" i="1" s="1"/>
  <c r="E280" i="1"/>
  <c r="F290" i="1" s="1"/>
  <c r="E265" i="1"/>
  <c r="I265" i="1" s="1"/>
  <c r="G267" i="1" s="1"/>
  <c r="G282" i="1" s="1"/>
  <c r="E267" i="1"/>
  <c r="E282" i="1" s="1"/>
  <c r="E42" i="1"/>
  <c r="E41" i="1"/>
  <c r="E40" i="1"/>
  <c r="E39" i="1"/>
  <c r="E38" i="1"/>
  <c r="E37" i="1"/>
  <c r="E36" i="1"/>
  <c r="E35" i="1"/>
  <c r="F33" i="1"/>
  <c r="G33" i="1" s="1"/>
  <c r="I33" i="1" s="1"/>
  <c r="D43" i="1"/>
  <c r="D104" i="1" s="1"/>
  <c r="G104" i="1" s="1"/>
  <c r="E107" i="1" s="1"/>
  <c r="H150" i="1" s="1"/>
  <c r="J33" i="1" l="1"/>
  <c r="M33" i="1" s="1"/>
  <c r="F34" i="1"/>
  <c r="E18" i="1"/>
  <c r="E19" i="1" s="1"/>
  <c r="G34" i="1" l="1"/>
  <c r="I34" i="1" s="1"/>
  <c r="J34" i="1" s="1"/>
  <c r="K33" i="1"/>
  <c r="F35" i="1"/>
  <c r="F19" i="1"/>
  <c r="E20" i="1"/>
  <c r="F18" i="1"/>
  <c r="H18" i="1" s="1"/>
  <c r="I18" i="1" s="1"/>
  <c r="J18" i="1" s="1"/>
  <c r="M34" i="1" l="1"/>
  <c r="K34" i="1"/>
  <c r="G35" i="1"/>
  <c r="I35" i="1" s="1"/>
  <c r="J35" i="1" s="1"/>
  <c r="F36" i="1"/>
  <c r="L18" i="1"/>
  <c r="H19" i="1"/>
  <c r="I19" i="1" s="1"/>
  <c r="J19" i="1" s="1"/>
  <c r="F20" i="1"/>
  <c r="E21" i="1"/>
  <c r="K35" i="1" l="1"/>
  <c r="M35" i="1"/>
  <c r="G36" i="1"/>
  <c r="I36" i="1" s="1"/>
  <c r="J36" i="1" s="1"/>
  <c r="F37" i="1"/>
  <c r="L19" i="1"/>
  <c r="H20" i="1"/>
  <c r="I20" i="1" s="1"/>
  <c r="E22" i="1"/>
  <c r="F21" i="1"/>
  <c r="M36" i="1" l="1"/>
  <c r="K36" i="1"/>
  <c r="F38" i="1"/>
  <c r="G38" i="1" s="1"/>
  <c r="I38" i="1" s="1"/>
  <c r="J38" i="1" s="1"/>
  <c r="G37" i="1"/>
  <c r="I37" i="1" s="1"/>
  <c r="J37" i="1" s="1"/>
  <c r="K37" i="1" s="1"/>
  <c r="J20" i="1"/>
  <c r="L20" i="1"/>
  <c r="H21" i="1"/>
  <c r="I21" i="1" s="1"/>
  <c r="F22" i="1"/>
  <c r="E23" i="1"/>
  <c r="F39" i="1" l="1"/>
  <c r="G39" i="1" s="1"/>
  <c r="I39" i="1" s="1"/>
  <c r="J39" i="1" s="1"/>
  <c r="M37" i="1"/>
  <c r="M38" i="1"/>
  <c r="K38" i="1"/>
  <c r="L21" i="1"/>
  <c r="J21" i="1"/>
  <c r="H22" i="1"/>
  <c r="I22" i="1" s="1"/>
  <c r="E24" i="1"/>
  <c r="F23" i="1"/>
  <c r="F40" i="1" l="1"/>
  <c r="G40" i="1" s="1"/>
  <c r="I40" i="1" s="1"/>
  <c r="J40" i="1" s="1"/>
  <c r="M39" i="1"/>
  <c r="K39" i="1"/>
  <c r="L22" i="1"/>
  <c r="J22" i="1"/>
  <c r="H23" i="1"/>
  <c r="I23" i="1" s="1"/>
  <c r="F24" i="1"/>
  <c r="E25" i="1"/>
  <c r="F41" i="1" l="1"/>
  <c r="G41" i="1" s="1"/>
  <c r="I41" i="1" s="1"/>
  <c r="J41" i="1" s="1"/>
  <c r="M40" i="1"/>
  <c r="K40" i="1"/>
  <c r="J23" i="1"/>
  <c r="L23" i="1"/>
  <c r="H24" i="1"/>
  <c r="I24" i="1" s="1"/>
  <c r="F25" i="1"/>
  <c r="E26" i="1"/>
  <c r="F42" i="1" l="1"/>
  <c r="D102" i="1" s="1"/>
  <c r="M41" i="1"/>
  <c r="K41" i="1"/>
  <c r="L24" i="1"/>
  <c r="J24" i="1"/>
  <c r="H25" i="1"/>
  <c r="I25" i="1" s="1"/>
  <c r="E27" i="1"/>
  <c r="F27" i="1" s="1"/>
  <c r="F26" i="1"/>
  <c r="G102" i="1" l="1"/>
  <c r="C315" i="1" s="1"/>
  <c r="G42" i="1"/>
  <c r="I42" i="1" s="1"/>
  <c r="J42" i="1" s="1"/>
  <c r="K42" i="1" s="1"/>
  <c r="M42" i="1" s="1"/>
  <c r="L25" i="1"/>
  <c r="J25" i="1"/>
  <c r="H26" i="1"/>
  <c r="I26" i="1" s="1"/>
  <c r="H27" i="1"/>
  <c r="I27" i="1" s="1"/>
  <c r="J27" i="1" s="1"/>
  <c r="L27" i="1" s="1"/>
  <c r="C334" i="1" l="1"/>
  <c r="E315" i="1"/>
  <c r="E317" i="1" s="1"/>
  <c r="E122" i="1"/>
  <c r="F122" i="1" s="1"/>
  <c r="H122" i="1" s="1"/>
  <c r="I122" i="1" s="1"/>
  <c r="E106" i="1"/>
  <c r="G150" i="1" s="1"/>
  <c r="G152" i="1" s="1"/>
  <c r="G195" i="1" s="1"/>
  <c r="D132" i="1"/>
  <c r="F131" i="1" s="1"/>
  <c r="D136" i="1"/>
  <c r="D142" i="1" s="1"/>
  <c r="H143" i="1" s="1"/>
  <c r="L26" i="1"/>
  <c r="J26" i="1"/>
  <c r="F317" i="1" l="1"/>
  <c r="H317" i="1"/>
  <c r="D337" i="1"/>
  <c r="D339" i="1" s="1"/>
  <c r="G131" i="1"/>
  <c r="K131" i="1"/>
  <c r="H142" i="1"/>
  <c r="D161" i="1"/>
  <c r="G339" i="1" l="1"/>
  <c r="E339" i="1"/>
  <c r="I142" i="1"/>
  <c r="I143" i="1"/>
  <c r="H162" i="1"/>
  <c r="B180" i="1" s="1"/>
  <c r="E137" i="1"/>
  <c r="H137" i="1" s="1"/>
  <c r="H195" i="1" l="1"/>
  <c r="G197" i="1" s="1"/>
  <c r="H161" i="1"/>
  <c r="G172" i="1" s="1"/>
  <c r="I174" i="1" s="1"/>
  <c r="I177" i="1" s="1"/>
  <c r="H136" i="1"/>
  <c r="I206" i="1" l="1"/>
  <c r="I205" i="1"/>
  <c r="I136" i="1"/>
  <c r="I137" i="1"/>
  <c r="H174" i="1"/>
  <c r="I176" i="1" s="1"/>
  <c r="I179" i="1" s="1"/>
  <c r="I180" i="1" s="1"/>
  <c r="F183" i="1"/>
  <c r="F181" i="1" l="1"/>
  <c r="C185" i="1" s="1"/>
  <c r="E185" i="1" s="1"/>
  <c r="C188" i="1" s="1"/>
  <c r="C211" i="1" s="1"/>
  <c r="G211" i="1" l="1"/>
  <c r="C213" i="1" s="1"/>
  <c r="B224" i="1" s="1"/>
  <c r="E229" i="1" l="1"/>
  <c r="D238" i="1" s="1"/>
  <c r="F244" i="1" s="1"/>
  <c r="F247" i="1" s="1"/>
  <c r="B226" i="1"/>
  <c r="G249" i="1" l="1"/>
  <c r="G247" i="1"/>
</calcChain>
</file>

<file path=xl/sharedStrings.xml><?xml version="1.0" encoding="utf-8"?>
<sst xmlns="http://schemas.openxmlformats.org/spreadsheetml/2006/main" count="413" uniqueCount="236">
  <si>
    <t>COLUMNA  C1:</t>
  </si>
  <si>
    <t>N°pisos</t>
  </si>
  <si>
    <t>PG/M2</t>
  </si>
  <si>
    <t>acumulado</t>
  </si>
  <si>
    <t>P=1.1 PG</t>
  </si>
  <si>
    <t>n</t>
  </si>
  <si>
    <t>t2=(P/n f´c) AT</t>
  </si>
  <si>
    <t>t(cm)</t>
  </si>
  <si>
    <t>Area Col.(cm)</t>
  </si>
  <si>
    <t>uniformizando</t>
  </si>
  <si>
    <t>AT(c1)</t>
  </si>
  <si>
    <t>F´C =</t>
  </si>
  <si>
    <t>x</t>
  </si>
  <si>
    <t>COLUMNA C2:</t>
  </si>
  <si>
    <t>C2=C3=C4</t>
  </si>
  <si>
    <t>AC2 &gt; 0.6AC1</t>
  </si>
  <si>
    <t xml:space="preserve">TOTAL: </t>
  </si>
  <si>
    <t>P=1.25 PG</t>
  </si>
  <si>
    <t>AT(c2)</t>
  </si>
  <si>
    <t>AT(C1) =</t>
  </si>
  <si>
    <t>AT(C2) =</t>
  </si>
  <si>
    <t>DIMENSIONAMIENTO DE VIGAS PRINCIPALES</t>
  </si>
  <si>
    <t>C1</t>
  </si>
  <si>
    <t>C2</t>
  </si>
  <si>
    <t>h = L1</t>
  </si>
  <si>
    <t>Ln =</t>
  </si>
  <si>
    <r>
      <t xml:space="preserve">b =   </t>
    </r>
    <r>
      <rPr>
        <u/>
        <sz val="11"/>
        <color theme="1"/>
        <rFont val="Calibri"/>
        <family val="2"/>
        <scheme val="minor"/>
      </rPr>
      <t xml:space="preserve">    B</t>
    </r>
    <r>
      <rPr>
        <sz val="11"/>
        <color theme="1"/>
        <rFont val="Calibri"/>
        <family val="2"/>
        <scheme val="minor"/>
      </rPr>
      <t xml:space="preserve"> </t>
    </r>
  </si>
  <si>
    <t>DIMENSIONAMIENTO DE  VIGA SECUNDARIA</t>
  </si>
  <si>
    <t>h=</t>
  </si>
  <si>
    <t>usar :</t>
  </si>
  <si>
    <t>DATOS PARA EL DISEÑO DE LA CIMENTACION</t>
  </si>
  <si>
    <r>
      <rPr>
        <b/>
        <sz val="18"/>
        <color theme="1"/>
        <rFont val="Calibri"/>
        <family val="2"/>
      </rPr>
      <t>ϒ</t>
    </r>
    <r>
      <rPr>
        <sz val="11"/>
        <color theme="1"/>
        <rFont val="Calibri"/>
        <family val="2"/>
      </rPr>
      <t>prom=</t>
    </r>
  </si>
  <si>
    <t>hf  =</t>
  </si>
  <si>
    <t>f´c =</t>
  </si>
  <si>
    <t>fy  =</t>
  </si>
  <si>
    <r>
      <rPr>
        <b/>
        <sz val="20"/>
        <color theme="1"/>
        <rFont val="Calibri"/>
        <family val="2"/>
      </rPr>
      <t>Ǥ</t>
    </r>
    <r>
      <rPr>
        <sz val="16"/>
        <color theme="1"/>
        <rFont val="Calibri"/>
        <family val="2"/>
      </rPr>
      <t>t   =</t>
    </r>
  </si>
  <si>
    <t>PG=</t>
  </si>
  <si>
    <t>area tributaria</t>
  </si>
  <si>
    <t>=</t>
  </si>
  <si>
    <t>PL=</t>
  </si>
  <si>
    <t>PL  =</t>
  </si>
  <si>
    <t>PD  =</t>
  </si>
  <si>
    <t>Mseg  =MD + ML</t>
  </si>
  <si>
    <t>e  =</t>
  </si>
  <si>
    <r>
      <t xml:space="preserve">Ǥ </t>
    </r>
    <r>
      <rPr>
        <sz val="12"/>
        <color theme="1"/>
        <rFont val="Calibri"/>
        <family val="2"/>
        <scheme val="minor"/>
      </rPr>
      <t>1,2 =</t>
    </r>
  </si>
  <si>
    <t>6   x</t>
  </si>
  <si>
    <t>Ǥ 1  =</t>
  </si>
  <si>
    <t>SI NO CUMPLE  VOLVEMOS A DIMENSIONAR  HASTA QUE SEA MENOR QUE EL ESFUERZO NETO</t>
  </si>
  <si>
    <t>L x L   =</t>
  </si>
  <si>
    <t xml:space="preserve">USAR : </t>
  </si>
  <si>
    <t>U  =  1.5 CM + 1.8  CV</t>
  </si>
  <si>
    <t>PU=</t>
  </si>
  <si>
    <t>Lv1 =  Lv2</t>
  </si>
  <si>
    <t>Lv1 =</t>
  </si>
  <si>
    <t>d</t>
  </si>
  <si>
    <r>
      <t xml:space="preserve">CALCULO DE hf :  por corte  :  Vu &lt; </t>
    </r>
    <r>
      <rPr>
        <sz val="11"/>
        <color theme="1"/>
        <rFont val="Calibri"/>
        <family val="2"/>
      </rPr>
      <t>φ VC</t>
    </r>
  </si>
  <si>
    <t>Vu =</t>
  </si>
  <si>
    <t>d=</t>
  </si>
  <si>
    <t>h =</t>
  </si>
  <si>
    <t>Asf  =</t>
  </si>
  <si>
    <t>cm2</t>
  </si>
  <si>
    <t xml:space="preserve"> </t>
  </si>
  <si>
    <t>A φ</t>
  </si>
  <si>
    <t>Espaciamiento :</t>
  </si>
  <si>
    <t>s =</t>
  </si>
  <si>
    <t>USAR :</t>
  </si>
  <si>
    <t>Seccion transversal :</t>
  </si>
  <si>
    <t>Vdu =</t>
  </si>
  <si>
    <t>tn</t>
  </si>
  <si>
    <t>φ VC  =   φ 1.06 x    f´c  x  b  x d</t>
  </si>
  <si>
    <t>φ VC  =</t>
  </si>
  <si>
    <t>Vdu</t>
  </si>
  <si>
    <t xml:space="preserve">φ VC  </t>
  </si>
  <si>
    <t xml:space="preserve"> USAR :          h=</t>
  </si>
  <si>
    <t>1 &gt;  DISEÑO DE ZAPATA</t>
  </si>
  <si>
    <t xml:space="preserve">                            2 &gt;  CALCULO DEL ESFUERZO NETO DEL TERRENO :</t>
  </si>
  <si>
    <r>
      <t>Ǥn   =   Ǥt  - ϒ</t>
    </r>
    <r>
      <rPr>
        <sz val="11"/>
        <color theme="1"/>
        <rFont val="Calibri"/>
        <family val="2"/>
        <scheme val="minor"/>
      </rPr>
      <t>prom</t>
    </r>
    <r>
      <rPr>
        <sz val="16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x</t>
    </r>
    <r>
      <rPr>
        <sz val="16"/>
        <color theme="1"/>
        <rFont val="Calibri"/>
        <family val="2"/>
        <scheme val="minor"/>
      </rPr>
      <t xml:space="preserve"> hf  -  s/c </t>
    </r>
  </si>
  <si>
    <t>S/C =</t>
  </si>
  <si>
    <t>Ǥn     =</t>
  </si>
  <si>
    <t xml:space="preserve">                            3 &gt;  CALCULO DEL AREA DE ZAPATA :</t>
  </si>
  <si>
    <t xml:space="preserve">             Ǥn</t>
  </si>
  <si>
    <r>
      <t xml:space="preserve">A </t>
    </r>
    <r>
      <rPr>
        <sz val="14"/>
        <color theme="1"/>
        <rFont val="Calibri"/>
        <family val="2"/>
        <scheme val="minor"/>
      </rPr>
      <t>z</t>
    </r>
    <r>
      <rPr>
        <sz val="16"/>
        <color theme="1"/>
        <rFont val="Calibri"/>
        <family val="2"/>
        <scheme val="minor"/>
      </rPr>
      <t xml:space="preserve"> =  </t>
    </r>
    <r>
      <rPr>
        <u/>
        <sz val="16"/>
        <color theme="1"/>
        <rFont val="Calibri"/>
        <family val="2"/>
        <scheme val="minor"/>
      </rPr>
      <t xml:space="preserve"> P</t>
    </r>
    <r>
      <rPr>
        <u/>
        <sz val="12"/>
        <color theme="1"/>
        <rFont val="Calibri"/>
        <family val="2"/>
        <scheme val="minor"/>
      </rPr>
      <t>seg</t>
    </r>
  </si>
  <si>
    <t>Az =</t>
  </si>
  <si>
    <t xml:space="preserve">     L x L     =</t>
  </si>
  <si>
    <t xml:space="preserve">                            4 &gt;  EXENTRICIDAD   :      (  e  =  Mseg   /   Pseg  )</t>
  </si>
  <si>
    <t xml:space="preserve">                                luego calculo  de presiones  :</t>
  </si>
  <si>
    <r>
      <rPr>
        <sz val="16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>D =</t>
    </r>
  </si>
  <si>
    <r>
      <rPr>
        <sz val="16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>L  =</t>
    </r>
  </si>
  <si>
    <r>
      <rPr>
        <sz val="16"/>
        <color theme="1"/>
        <rFont val="Calibri"/>
        <family val="2"/>
        <scheme val="minor"/>
      </rPr>
      <t>MS</t>
    </r>
    <r>
      <rPr>
        <sz val="11"/>
        <color theme="1"/>
        <rFont val="Calibri"/>
        <family val="2"/>
        <scheme val="minor"/>
      </rPr>
      <t xml:space="preserve">  =</t>
    </r>
  </si>
  <si>
    <r>
      <rPr>
        <sz val="16"/>
        <color theme="1"/>
        <rFont val="Calibri"/>
        <family val="2"/>
        <scheme val="minor"/>
      </rPr>
      <t>MSeg</t>
    </r>
    <r>
      <rPr>
        <sz val="11"/>
        <color theme="1"/>
        <rFont val="Calibri"/>
        <family val="2"/>
        <scheme val="minor"/>
      </rPr>
      <t xml:space="preserve">  =</t>
    </r>
  </si>
  <si>
    <t xml:space="preserve">                            5&gt;  CALCULO DE LA VERIFICACION NETA ULTIMA  :</t>
  </si>
  <si>
    <t>MU=</t>
  </si>
  <si>
    <t xml:space="preserve">                             luego  :</t>
  </si>
  <si>
    <t xml:space="preserve">                            6&gt;    :   CALCULO DE hf :  por corte  :  Vu &lt; φ VC</t>
  </si>
  <si>
    <t>Vu</t>
  </si>
  <si>
    <t>φ VC</t>
  </si>
  <si>
    <t xml:space="preserve">                            7&gt;    :   VERIFICACION POR  PUNZONAMIENTO   :        Vdu &lt; φ VC</t>
  </si>
  <si>
    <t>m2</t>
  </si>
  <si>
    <t xml:space="preserve">                            8&gt;    :   CALCULO DE LA ARMADURA   :</t>
  </si>
  <si>
    <t>ancho mayor de columna</t>
  </si>
  <si>
    <t>Mu =</t>
  </si>
  <si>
    <t>area</t>
  </si>
  <si>
    <t>perimetro</t>
  </si>
  <si>
    <t>t1 + d =</t>
  </si>
  <si>
    <t>Area =</t>
  </si>
  <si>
    <t>Perimetro =</t>
  </si>
  <si>
    <t>q</t>
  </si>
  <si>
    <t>Ǥi</t>
  </si>
  <si>
    <t>q =</t>
  </si>
  <si>
    <t>Ǥi    =</t>
  </si>
  <si>
    <t>b=</t>
  </si>
  <si>
    <t>Fy=</t>
  </si>
  <si>
    <t>datos :</t>
  </si>
  <si>
    <t>x    W  (    1   -   0.59   W   )</t>
  </si>
  <si>
    <t>w     -    0.59  w</t>
  </si>
  <si>
    <t>W</t>
  </si>
  <si>
    <t>a</t>
  </si>
  <si>
    <t>b</t>
  </si>
  <si>
    <t>c</t>
  </si>
  <si>
    <t>W =</t>
  </si>
  <si>
    <t>P  =</t>
  </si>
  <si>
    <t>Fy</t>
  </si>
  <si>
    <r>
      <t xml:space="preserve">W X </t>
    </r>
    <r>
      <rPr>
        <u/>
        <sz val="11"/>
        <color theme="1"/>
        <rFont val="Calibri"/>
        <family val="2"/>
        <scheme val="minor"/>
      </rPr>
      <t xml:space="preserve"> f´c</t>
    </r>
  </si>
  <si>
    <t>p  =</t>
  </si>
  <si>
    <t xml:space="preserve">P min = </t>
  </si>
  <si>
    <t>USAR : CUANTIA</t>
  </si>
  <si>
    <t>P   =</t>
  </si>
  <si>
    <t xml:space="preserve">                            9&gt;    :   CALCULO DEL ACERO  :</t>
  </si>
  <si>
    <t>As  =  p x b x d</t>
  </si>
  <si>
    <t>Area de acero</t>
  </si>
  <si>
    <r>
      <t xml:space="preserve">n =  </t>
    </r>
    <r>
      <rPr>
        <u/>
        <sz val="11"/>
        <color theme="1"/>
        <rFont val="Calibri"/>
        <family val="2"/>
        <scheme val="minor"/>
      </rPr>
      <t xml:space="preserve">  Asf</t>
    </r>
  </si>
  <si>
    <t>n =</t>
  </si>
  <si>
    <t xml:space="preserve">                            10&gt;    :   VERIFICACION  DE LA LONGITUD DE DESARROLLO </t>
  </si>
  <si>
    <t>Ld = 0.06    Ab . Fy</t>
  </si>
  <si>
    <t>f´c</t>
  </si>
  <si>
    <t>Ld  =</t>
  </si>
  <si>
    <t>&lt;</t>
  </si>
  <si>
    <t xml:space="preserve">Ldisp= Lreq- r </t>
  </si>
  <si>
    <t xml:space="preserve">Ld  </t>
  </si>
  <si>
    <t>Ldis=</t>
  </si>
  <si>
    <t xml:space="preserve">                            11&gt;    :   VERIFICACION DE TRANSFERENCIA DE CARGA EN LA INTERFASE DE COLUMNA Y CIMENTACION </t>
  </si>
  <si>
    <t>a &gt;  R esistencia  al aplastamiento  sobre la columna</t>
  </si>
  <si>
    <t>se tiene :</t>
  </si>
  <si>
    <t>F´c =</t>
  </si>
  <si>
    <t>Pu =</t>
  </si>
  <si>
    <t>Pu &lt; φ Pn</t>
  </si>
  <si>
    <t>φ Pn=  φ* 0.85* F´c* Acol</t>
  </si>
  <si>
    <t>b&gt; Resistencia al aplastamiento en el concreto de la cimentacion :</t>
  </si>
  <si>
    <t>φ Pn=  φ* 0.85* F´c* Ao</t>
  </si>
  <si>
    <t>Xo</t>
  </si>
  <si>
    <t>Xo=</t>
  </si>
  <si>
    <t>Ao =</t>
  </si>
  <si>
    <t>Ao =         A2</t>
  </si>
  <si>
    <t>A1</t>
  </si>
  <si>
    <t>A0  =</t>
  </si>
  <si>
    <t>Col</t>
  </si>
  <si>
    <t>DISEÑO DE COLUMNAS - VIGAS  Y CIMENTACION MENORES A 10 PISOS</t>
  </si>
  <si>
    <t>COL (1er piso)=</t>
  </si>
  <si>
    <t>m</t>
  </si>
  <si>
    <t>Ǥ 2  =</t>
  </si>
  <si>
    <t>As  =</t>
  </si>
  <si>
    <r>
      <t xml:space="preserve">n =  </t>
    </r>
    <r>
      <rPr>
        <u/>
        <sz val="11"/>
        <color theme="1"/>
        <rFont val="Calibri"/>
        <family val="2"/>
        <scheme val="minor"/>
      </rPr>
      <t xml:space="preserve">  As</t>
    </r>
  </si>
  <si>
    <t>DATOS</t>
  </si>
  <si>
    <t>1&gt; Según momentos de diseño  calculamos los momentos ultimos</t>
  </si>
  <si>
    <t>Wu  =</t>
  </si>
  <si>
    <t>L=</t>
  </si>
  <si>
    <t xml:space="preserve">2) </t>
  </si>
  <si>
    <t>cm</t>
  </si>
  <si>
    <t>Pulg</t>
  </si>
  <si>
    <t>Cms</t>
  </si>
  <si>
    <t xml:space="preserve">AREA cm2 </t>
  </si>
  <si>
    <t>3/8"</t>
  </si>
  <si>
    <t>Pb   =</t>
  </si>
  <si>
    <t>1/2"</t>
  </si>
  <si>
    <t xml:space="preserve">  fy</t>
  </si>
  <si>
    <t>6000 + fy</t>
  </si>
  <si>
    <t>5/8"</t>
  </si>
  <si>
    <t>3/4"</t>
  </si>
  <si>
    <t>7/8"</t>
  </si>
  <si>
    <t>1"</t>
  </si>
  <si>
    <t>1 1/8"</t>
  </si>
  <si>
    <t>1 1/4"</t>
  </si>
  <si>
    <t>1 3/8"</t>
  </si>
  <si>
    <t>1 1/2"</t>
  </si>
  <si>
    <t>k/cm2</t>
  </si>
  <si>
    <t>T-m</t>
  </si>
  <si>
    <t>DISEÑO DE VIGA DOBLEMENTE ARMADA</t>
  </si>
  <si>
    <t>b    =</t>
  </si>
  <si>
    <t>h    =</t>
  </si>
  <si>
    <t>r     =</t>
  </si>
  <si>
    <t>d    =</t>
  </si>
  <si>
    <t>f´c  =</t>
  </si>
  <si>
    <t>t/m</t>
  </si>
  <si>
    <t>Máxu -=</t>
  </si>
  <si>
    <t>t-m</t>
  </si>
  <si>
    <t>Máx +</t>
  </si>
  <si>
    <t>Cálculo de la capacidad del acero armado en tracción unicamente :</t>
  </si>
  <si>
    <t>Cuantia máxima =</t>
  </si>
  <si>
    <r>
      <rPr>
        <b/>
        <sz val="16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>b =</t>
    </r>
  </si>
  <si>
    <r>
      <rPr>
        <b/>
        <sz val="14"/>
        <color theme="1"/>
        <rFont val="Calibri"/>
        <family val="2"/>
        <scheme val="minor"/>
      </rPr>
      <t>P</t>
    </r>
    <r>
      <rPr>
        <b/>
        <sz val="11"/>
        <color theme="1"/>
        <rFont val="Calibri"/>
        <family val="2"/>
        <scheme val="minor"/>
      </rPr>
      <t>máx=</t>
    </r>
  </si>
  <si>
    <t xml:space="preserve">3) </t>
  </si>
  <si>
    <t>Cálculo del acero :</t>
  </si>
  <si>
    <r>
      <t xml:space="preserve">As1   =  </t>
    </r>
    <r>
      <rPr>
        <b/>
        <sz val="14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>máx   x   b  x  d</t>
    </r>
  </si>
  <si>
    <r>
      <rPr>
        <sz val="16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s1=</t>
    </r>
  </si>
  <si>
    <t xml:space="preserve">4) </t>
  </si>
  <si>
    <t>Cálculo del Momento  :</t>
  </si>
  <si>
    <t>M1 =</t>
  </si>
  <si>
    <t>Cálculo del Momento Remanente  :</t>
  </si>
  <si>
    <r>
      <rPr>
        <b/>
        <sz val="11"/>
        <color theme="1"/>
        <rFont val="Calibri"/>
        <family val="2"/>
        <scheme val="minor"/>
      </rPr>
      <t>M2</t>
    </r>
    <r>
      <rPr>
        <sz val="11"/>
        <color theme="1"/>
        <rFont val="Calibri"/>
        <family val="2"/>
        <scheme val="minor"/>
      </rPr>
      <t xml:space="preserve"> = MU - M1</t>
    </r>
  </si>
  <si>
    <t xml:space="preserve">5) </t>
  </si>
  <si>
    <t>Pero :</t>
  </si>
  <si>
    <r>
      <t xml:space="preserve">ß1 x 0.85 x  </t>
    </r>
    <r>
      <rPr>
        <u/>
        <sz val="12"/>
        <color theme="1"/>
        <rFont val="Calibri"/>
        <family val="2"/>
      </rPr>
      <t xml:space="preserve"> f´c</t>
    </r>
    <r>
      <rPr>
        <sz val="12"/>
        <color theme="1"/>
        <rFont val="Calibri"/>
        <family val="2"/>
      </rPr>
      <t xml:space="preserve">  x     </t>
    </r>
    <r>
      <rPr>
        <u/>
        <sz val="12"/>
        <color theme="1"/>
        <rFont val="Calibri"/>
        <family val="2"/>
      </rPr>
      <t xml:space="preserve"> 6000 </t>
    </r>
    <r>
      <rPr>
        <sz val="12"/>
        <color theme="1"/>
        <rFont val="Calibri"/>
        <family val="2"/>
      </rPr>
      <t xml:space="preserve"> </t>
    </r>
  </si>
  <si>
    <t>M2    =</t>
  </si>
  <si>
    <t xml:space="preserve">6) </t>
  </si>
  <si>
    <t>Acero total  :</t>
  </si>
  <si>
    <t>Cm2</t>
  </si>
  <si>
    <t>AS´  =</t>
  </si>
  <si>
    <t>AS  =</t>
  </si>
  <si>
    <t>Comprobación :</t>
  </si>
  <si>
    <t>d           b x d</t>
  </si>
  <si>
    <r>
      <rPr>
        <u/>
        <sz val="11"/>
        <color theme="1"/>
        <rFont val="Calibri"/>
        <family val="2"/>
        <scheme val="minor"/>
      </rPr>
      <t>d´</t>
    </r>
    <r>
      <rPr>
        <sz val="11"/>
        <color theme="1"/>
        <rFont val="Calibri"/>
        <family val="2"/>
        <scheme val="minor"/>
      </rPr>
      <t xml:space="preserve">   +       </t>
    </r>
    <r>
      <rPr>
        <u/>
        <sz val="11"/>
        <color theme="1"/>
        <rFont val="Calibri"/>
        <family val="2"/>
        <scheme val="minor"/>
      </rPr>
      <t>As</t>
    </r>
  </si>
  <si>
    <t>Pmin   =</t>
  </si>
  <si>
    <r>
      <rPr>
        <b/>
        <sz val="16"/>
        <color theme="1"/>
        <rFont val="Calibri"/>
        <family val="2"/>
        <scheme val="minor"/>
      </rPr>
      <t>P</t>
    </r>
    <r>
      <rPr>
        <b/>
        <sz val="12"/>
        <color theme="1"/>
        <rFont val="Calibri"/>
        <family val="2"/>
        <scheme val="minor"/>
      </rPr>
      <t>min</t>
    </r>
    <r>
      <rPr>
        <sz val="11"/>
        <color theme="1"/>
        <rFont val="Calibri"/>
        <family val="2"/>
        <scheme val="minor"/>
      </rPr>
      <t xml:space="preserve"> =</t>
    </r>
  </si>
  <si>
    <r>
      <rPr>
        <b/>
        <sz val="18"/>
        <color theme="1"/>
        <rFont val="Calibri"/>
        <family val="2"/>
        <scheme val="minor"/>
      </rPr>
      <t>P</t>
    </r>
    <r>
      <rPr>
        <b/>
        <sz val="12"/>
        <color theme="1"/>
        <rFont val="Calibri"/>
        <family val="2"/>
        <scheme val="minor"/>
      </rPr>
      <t>viga =</t>
    </r>
  </si>
  <si>
    <t>AS</t>
  </si>
  <si>
    <t>b x  d</t>
  </si>
  <si>
    <r>
      <rPr>
        <b/>
        <sz val="18"/>
        <color theme="1"/>
        <rFont val="Calibri"/>
        <family val="2"/>
        <scheme val="minor"/>
      </rPr>
      <t>P</t>
    </r>
    <r>
      <rPr>
        <b/>
        <sz val="11"/>
        <color theme="1"/>
        <rFont val="Calibri"/>
        <family val="2"/>
        <scheme val="minor"/>
      </rPr>
      <t>viga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</si>
  <si>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8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 xml:space="preserve">min </t>
    </r>
  </si>
  <si>
    <r>
      <rPr>
        <b/>
        <sz val="11"/>
        <color theme="0"/>
        <rFont val="Calibri"/>
        <family val="2"/>
        <scheme val="minor"/>
      </rPr>
      <t>P</t>
    </r>
    <r>
      <rPr>
        <sz val="11"/>
        <color theme="0"/>
        <rFont val="Calibri"/>
        <family val="2"/>
        <scheme val="minor"/>
      </rPr>
      <t xml:space="preserve"> max   = 0.75 Pb</t>
    </r>
  </si>
  <si>
    <r>
      <rPr>
        <b/>
        <sz val="11"/>
        <color theme="0"/>
        <rFont val="Calibri"/>
        <family val="2"/>
        <scheme val="minor"/>
      </rPr>
      <t>P</t>
    </r>
    <r>
      <rPr>
        <sz val="11"/>
        <color theme="0"/>
        <rFont val="Calibri"/>
        <family val="2"/>
        <scheme val="minor"/>
      </rPr>
      <t xml:space="preserve"> max   = 0.50 Pb zona sismica</t>
    </r>
  </si>
  <si>
    <t>b= base de la viga</t>
  </si>
  <si>
    <t>h= Altura de viga</t>
  </si>
  <si>
    <t>r= recubrimiento para vigas</t>
  </si>
  <si>
    <t>d=peralte efectivo</t>
  </si>
  <si>
    <t>INGRESAR DATOS SOLO EN LAS CELDAS NARANJAS</t>
  </si>
  <si>
    <t>Ingresar el momento negativo: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</si>
</sst>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8">
    <numFmt numFmtId="164" formatCode="0\ &quot;Kg/cm2&quot;"/>
    <numFmt numFmtId="165" formatCode="0.00\ &quot;KG/M2&quot;"/>
    <numFmt numFmtId="166" formatCode="0.00\ &quot;cm2&quot;"/>
    <numFmt numFmtId="167" formatCode="&quot;x&quot;\ \ \ \ \ \ \ 0"/>
    <numFmt numFmtId="168" formatCode="&quot;S/C =&quot;\ 0\ \ \ &quot;KG/M2&quot;"/>
    <numFmt numFmtId="169" formatCode="0.000"/>
    <numFmt numFmtId="170" formatCode="0.00\ \ \ \ &quot;t/m3&quot;"/>
    <numFmt numFmtId="171" formatCode="0.0\ \ \ \ &quot;kg/cm2&quot;"/>
    <numFmt numFmtId="172" formatCode="General\ \ \ &quot;T-m&quot;"/>
    <numFmt numFmtId="173" formatCode="General\ &quot; m&quot;"/>
    <numFmt numFmtId="174" formatCode="\ 0\ \ \ &quot;Kg/m2&quot;"/>
    <numFmt numFmtId="175" formatCode="0.00\ \ &quot;tn&quot;"/>
    <numFmt numFmtId="176" formatCode="&quot;x&quot;\ \ \ 0.00\ \ &quot;m2&quot;"/>
    <numFmt numFmtId="177" formatCode="&quot;+&quot;\ \ \ \ \ \ \ \ General\ \ \ &quot;T-m&quot;"/>
    <numFmt numFmtId="178" formatCode="General\ \ \ &quot;m&quot;"/>
    <numFmt numFmtId="179" formatCode="&quot;=&quot;\ \ \ 0.000"/>
    <numFmt numFmtId="180" formatCode="0.00\ &quot;m2&quot;"/>
    <numFmt numFmtId="181" formatCode="\ 0.00\ \ \ &quot;t/m2     = &quot;"/>
    <numFmt numFmtId="182" formatCode="General\ \ \ \ \ &quot;x&quot;"/>
    <numFmt numFmtId="183" formatCode="\ 0.00\ \ \ &quot;t/m2&quot;"/>
    <numFmt numFmtId="184" formatCode="0.00\ \ \ \ \ \ \ &quot;X&quot;"/>
    <numFmt numFmtId="185" formatCode="0.00\ \ \ \ \ \ \ "/>
    <numFmt numFmtId="186" formatCode="&quot;1.5   (&quot;\ \ 0.00\ \ &quot;)  +&quot;"/>
    <numFmt numFmtId="187" formatCode="&quot;1.8   (&quot;\ \ 0.00\ \ &quot;)&quot;"/>
    <numFmt numFmtId="188" formatCode="\ 0.00\ \ \ &quot;tn &quot;"/>
    <numFmt numFmtId="189" formatCode="0.00\ \ \ \ \ \ \ &quot;-&quot;"/>
    <numFmt numFmtId="190" formatCode="\ &quot;X&quot;\ \ \ \ \ 0.00\ \ \ &quot;X&quot;"/>
    <numFmt numFmtId="191" formatCode="0\ "/>
    <numFmt numFmtId="192" formatCode="0.00\ \ \ \ \ \ \ &quot;x&quot;"/>
    <numFmt numFmtId="193" formatCode="&quot;x&quot;\ \ \ \ 0\ \ \ \ &quot;x&quot;"/>
    <numFmt numFmtId="194" formatCode="&quot;x&quot;\ \ \ \ 0.00\ \ \ \ &quot;x&quot;"/>
    <numFmt numFmtId="195" formatCode="0.00\ \ \ &quot;d&quot;"/>
    <numFmt numFmtId="196" formatCode="&quot;-&quot;\ \ \ 0.00\ \ \ &quot;d&quot;"/>
    <numFmt numFmtId="197" formatCode="\ &quot;X&quot;\ \ \ \ \ \ \ \ \ \ \ \ 0.00\ \ \ \ \ \ \ \ \ &quot;X&quot;"/>
    <numFmt numFmtId="198" formatCode="&quot;2   (&quot;\ \ \ \ 0.000\ \ \ &quot;)&quot;"/>
    <numFmt numFmtId="199" formatCode="&quot;-&quot;\ \ \ \ 0.000"/>
    <numFmt numFmtId="200" formatCode="0\ \ &quot;φ 3/4 @&quot;"/>
    <numFmt numFmtId="201" formatCode="0.00\ \ \ &quot;m&quot;"/>
    <numFmt numFmtId="202" formatCode="0\ &quot;Kg/m2&quot;"/>
    <numFmt numFmtId="203" formatCode="&quot;-&quot;\ \ \ \ \ \ \ \ \ \ 0.00\ \ \ \ \ \ \ \ &quot;x&quot;"/>
    <numFmt numFmtId="204" formatCode="General\ \ \ \ \ \ \ \ \ \ \ &quot;-&quot;"/>
    <numFmt numFmtId="205" formatCode="0.00\ \ \ \ \ \ \ &quot; T/M2&quot;"/>
    <numFmt numFmtId="206" formatCode="0.00\ \ &quot; t/m2&quot;"/>
    <numFmt numFmtId="207" formatCode="&quot;=&quot;\ \ \ \ 0.000\ \ &quot;m2&quot;"/>
    <numFmt numFmtId="208" formatCode="&quot;x&quot;\ \ \ \ \ \ \ \ 0.00"/>
    <numFmt numFmtId="209" formatCode="0.000\ \ \ &quot;m&quot;"/>
    <numFmt numFmtId="210" formatCode="0.0\ &quot;-&quot;"/>
    <numFmt numFmtId="211" formatCode="\ \ \ \ 0.00\ \ \ \ &quot;x&quot;"/>
    <numFmt numFmtId="212" formatCode="0.00\ \ \ \ "/>
    <numFmt numFmtId="213" formatCode="General\ \ \ \ \ &quot;=&quot;"/>
    <numFmt numFmtId="214" formatCode="&quot;=&quot;\ \ 0.00\ \ \ &quot;t/m2&quot;"/>
    <numFmt numFmtId="215" formatCode="0.00\ \ "/>
    <numFmt numFmtId="216" formatCode="&quot;x          2    &quot;\ \ \ \ \ \ \ \ \ 0.000"/>
    <numFmt numFmtId="217" formatCode="&quot;+      1&quot;\ \ \ \ \ 0.000"/>
    <numFmt numFmtId="218" formatCode="0.00\ \ \ \ &quot;t-m&quot;"/>
    <numFmt numFmtId="219" formatCode="0\ \ \ &quot;cm&quot;"/>
    <numFmt numFmtId="220" formatCode="0.00\ \ \ \ &quot;x     10&quot;"/>
    <numFmt numFmtId="221" formatCode="&quot;=&quot;\ \ \ \ \ \ \ \ 0.0"/>
    <numFmt numFmtId="222" formatCode="&quot;x&quot;\ \ \ \ \ 0\ \ \ \ \ \ &quot;x&quot;"/>
    <numFmt numFmtId="223" formatCode="0\ \ \ \ \ \ \ \ \ \ &quot;x&quot;"/>
    <numFmt numFmtId="224" formatCode="0\ \ \ "/>
    <numFmt numFmtId="225" formatCode="&quot;-&quot;\ \ \ \ \ \ 0.0000\ &quot;W&quot;"/>
    <numFmt numFmtId="226" formatCode="&quot;+&quot;\ \ \ \ 0.00000"/>
    <numFmt numFmtId="227" formatCode="&quot;=&quot;\ \ \ \ \ \ \ 0"/>
    <numFmt numFmtId="228" formatCode="0.00000"/>
    <numFmt numFmtId="229" formatCode="0.00000\ \ \ &quot;x&quot;"/>
    <numFmt numFmtId="230" formatCode="&quot;x      2.85  x&quot;\ \ 0\ "/>
    <numFmt numFmtId="231" formatCode="&quot;=&quot;\ \ \ \ \ \ \ \ \ \ 0.00\ \ &quot;cm&quot;"/>
    <numFmt numFmtId="232" formatCode="0.00\ \ \ &quot;cm&quot;"/>
    <numFmt numFmtId="233" formatCode="&quot;0.8  x&quot;\ \ 0.00"/>
    <numFmt numFmtId="234" formatCode="&quot;=&quot;\ \ \ 0.00\ \ &quot;cm&quot;"/>
    <numFmt numFmtId="235" formatCode="0.000\ \ &quot;-  0.075&quot;"/>
    <numFmt numFmtId="236" formatCode="&quot;x&quot;\ \ \ \ \ \ 0.00"/>
    <numFmt numFmtId="237" formatCode="&quot;0.7      x    0.85      x  &quot;\ \ 0"/>
    <numFmt numFmtId="238" formatCode="&quot;x    10        x     &quot;0.00"/>
    <numFmt numFmtId="239" formatCode="&quot;=&quot;\ \ \ \ \ \ \ \ \ \ \ \ 0.00"/>
    <numFmt numFmtId="240" formatCode="&quot;0.7      x    0.85      x  &quot;\ \ 0.00"/>
    <numFmt numFmtId="241" formatCode="0.00\ \ \ \ \ &quot;-&quot;"/>
    <numFmt numFmtId="242" formatCode="&quot;+&quot;\ \ \ 0.00000"/>
    <numFmt numFmtId="243" formatCode="&quot;x&quot;\ \ \ 0.00"/>
    <numFmt numFmtId="244" formatCode="0.0\ &quot;cm&quot;"/>
    <numFmt numFmtId="245" formatCode="0.00\ \ &quot;k/m&quot;"/>
    <numFmt numFmtId="246" formatCode="0.00\ \ &quot;t/m&quot;"/>
    <numFmt numFmtId="247" formatCode="0.0"/>
    <numFmt numFmtId="248" formatCode="0.0\ "/>
    <numFmt numFmtId="249" formatCode="0.00\ &quot;x 0.85&quot;"/>
    <numFmt numFmtId="250" formatCode="&quot;+&quot;\ \ \ \ \ \ \ 0"/>
    <numFmt numFmtId="251" formatCode="&quot;=&quot;\ \ \ \ \ General"/>
    <numFmt numFmtId="252" formatCode="0.00\ \ \ \ \ &quot;x&quot;"/>
    <numFmt numFmtId="253" formatCode="\ General\ &quot;=&quot;\ \ "/>
    <numFmt numFmtId="254" formatCode="\ \ General"/>
    <numFmt numFmtId="255" formatCode="0.0\ \ \ \ \ &quot;-&quot;"/>
    <numFmt numFmtId="256" formatCode="&quot;x&quot;\ \ General"/>
    <numFmt numFmtId="257" formatCode="&quot;+&quot;\ \ \ \ \ \ \ \ 0.00"/>
    <numFmt numFmtId="258" formatCode="General\ \ \ \ &quot;φ&quot;\ \ \ \ &quot;de&quot;"/>
    <numFmt numFmtId="259" formatCode="0.00\ \ \ &quot;x &quot;"/>
    <numFmt numFmtId="260" formatCode="&quot;+&quot;\ \ \ \ \ \ \ \ \ \ \ \ \ \ \ \ \ 0.00"/>
    <numFmt numFmtId="261" formatCode="&quot;=&quot;\ \ \ \ \ \ \ \ \ 0.00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GreekS"/>
    </font>
    <font>
      <b/>
      <sz val="11"/>
      <color theme="1"/>
      <name val="Imprint MT Shadow"/>
      <family val="5"/>
    </font>
    <font>
      <sz val="11"/>
      <color rgb="FF00B05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Arial Black"/>
      <family val="2"/>
    </font>
    <font>
      <u val="double"/>
      <sz val="11"/>
      <color theme="1"/>
      <name val="Arial Black"/>
      <family val="2"/>
    </font>
    <font>
      <sz val="11"/>
      <color theme="9" tint="-0.249977111117893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Calibri"/>
      <family val="2"/>
    </font>
    <font>
      <b/>
      <sz val="18"/>
      <color theme="1"/>
      <name val="Calibri"/>
      <family val="2"/>
    </font>
    <font>
      <b/>
      <sz val="20"/>
      <color theme="1"/>
      <name val="Calibri"/>
      <family val="2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6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1"/>
      <color rgb="FFFFC000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2"/>
      <color theme="1"/>
      <name val="Castellar"/>
      <family val="1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2"/>
      <color theme="1"/>
      <name val="Calibri"/>
      <family val="2"/>
    </font>
    <font>
      <b/>
      <sz val="12"/>
      <color rgb="FFFF0000"/>
      <name val="Calibri"/>
      <family val="2"/>
      <scheme val="minor"/>
    </font>
    <font>
      <sz val="11"/>
      <color theme="1" tint="0.249977111117893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407">
    <xf numFmtId="0" fontId="0" fillId="0" borderId="0" xfId="0"/>
    <xf numFmtId="0" fontId="0" fillId="0" borderId="0" xfId="0" applyAlignment="1">
      <alignment horizontal="center"/>
    </xf>
    <xf numFmtId="0" fontId="0" fillId="4" borderId="0" xfId="0" applyFill="1"/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6" borderId="6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4" borderId="7" xfId="0" applyFill="1" applyBorder="1"/>
    <xf numFmtId="0" fontId="0" fillId="2" borderId="9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4" borderId="0" xfId="0" applyFill="1" applyBorder="1"/>
    <xf numFmtId="0" fontId="0" fillId="2" borderId="0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4" borderId="11" xfId="0" applyFill="1" applyBorder="1"/>
    <xf numFmtId="1" fontId="0" fillId="3" borderId="9" xfId="0" applyNumberFormat="1" applyFill="1" applyBorder="1" applyAlignment="1">
      <alignment horizontal="center" vertical="center"/>
    </xf>
    <xf numFmtId="1" fontId="0" fillId="3" borderId="11" xfId="0" applyNumberFormat="1" applyFill="1" applyBorder="1" applyAlignment="1">
      <alignment horizontal="center" vertical="center"/>
    </xf>
    <xf numFmtId="1" fontId="0" fillId="2" borderId="9" xfId="0" applyNumberFormat="1" applyFill="1" applyBorder="1" applyAlignment="1">
      <alignment horizontal="center" vertical="center"/>
    </xf>
    <xf numFmtId="1" fontId="0" fillId="2" borderId="11" xfId="0" applyNumberFormat="1" applyFill="1" applyBorder="1" applyAlignment="1">
      <alignment horizontal="center" vertical="center"/>
    </xf>
    <xf numFmtId="1" fontId="0" fillId="2" borderId="5" xfId="0" applyNumberFormat="1" applyFill="1" applyBorder="1" applyAlignment="1">
      <alignment horizontal="center" vertical="center"/>
    </xf>
    <xf numFmtId="1" fontId="0" fillId="2" borderId="12" xfId="0" applyNumberForma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0" fillId="3" borderId="0" xfId="0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6" fillId="6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right" vertical="center"/>
    </xf>
    <xf numFmtId="0" fontId="0" fillId="2" borderId="0" xfId="0" applyFill="1" applyBorder="1" applyAlignment="1">
      <alignment horizontal="right" vertical="center"/>
    </xf>
    <xf numFmtId="0" fontId="0" fillId="2" borderId="1" xfId="0" applyFill="1" applyBorder="1" applyAlignment="1">
      <alignment horizontal="right" vertical="center"/>
    </xf>
    <xf numFmtId="0" fontId="0" fillId="4" borderId="0" xfId="0" applyFill="1" applyBorder="1" applyAlignment="1">
      <alignment horizontal="center" vertical="center"/>
    </xf>
    <xf numFmtId="0" fontId="0" fillId="4" borderId="14" xfId="0" applyFill="1" applyBorder="1"/>
    <xf numFmtId="0" fontId="0" fillId="4" borderId="15" xfId="0" applyFill="1" applyBorder="1"/>
    <xf numFmtId="0" fontId="0" fillId="4" borderId="5" xfId="0" applyFill="1" applyBorder="1" applyAlignment="1">
      <alignment horizontal="center" vertical="center"/>
    </xf>
    <xf numFmtId="0" fontId="0" fillId="4" borderId="4" xfId="0" applyFill="1" applyBorder="1"/>
    <xf numFmtId="164" fontId="0" fillId="5" borderId="0" xfId="0" applyNumberFormat="1" applyFill="1" applyAlignment="1" applyProtection="1">
      <alignment horizontal="center"/>
      <protection locked="0"/>
    </xf>
    <xf numFmtId="0" fontId="0" fillId="4" borderId="12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" xfId="0" applyFill="1" applyBorder="1"/>
    <xf numFmtId="0" fontId="0" fillId="4" borderId="10" xfId="0" applyFill="1" applyBorder="1" applyAlignment="1" applyProtection="1">
      <alignment horizontal="center" vertical="center"/>
      <protection locked="0"/>
    </xf>
    <xf numFmtId="166" fontId="0" fillId="4" borderId="10" xfId="0" applyNumberFormat="1" applyFill="1" applyBorder="1" applyAlignment="1" applyProtection="1">
      <alignment horizontal="center" vertical="center"/>
      <protection locked="0"/>
    </xf>
    <xf numFmtId="0" fontId="0" fillId="7" borderId="6" xfId="0" applyFill="1" applyBorder="1" applyAlignment="1" applyProtection="1">
      <alignment horizontal="center" vertical="center"/>
      <protection locked="0"/>
    </xf>
    <xf numFmtId="0" fontId="0" fillId="7" borderId="0" xfId="0" applyFill="1" applyBorder="1" applyAlignment="1" applyProtection="1">
      <alignment horizontal="right" vertical="center"/>
      <protection locked="0"/>
    </xf>
    <xf numFmtId="167" fontId="0" fillId="7" borderId="0" xfId="0" applyNumberFormat="1" applyFill="1" applyAlignment="1" applyProtection="1">
      <alignment horizontal="center" vertical="center"/>
      <protection locked="0"/>
    </xf>
    <xf numFmtId="0" fontId="0" fillId="0" borderId="0" xfId="0" applyAlignment="1">
      <alignment horizontal="right"/>
    </xf>
    <xf numFmtId="0" fontId="0" fillId="4" borderId="12" xfId="0" applyFill="1" applyBorder="1"/>
    <xf numFmtId="0" fontId="0" fillId="4" borderId="6" xfId="0" applyFill="1" applyBorder="1"/>
    <xf numFmtId="0" fontId="0" fillId="0" borderId="6" xfId="0" applyBorder="1"/>
    <xf numFmtId="0" fontId="0" fillId="0" borderId="7" xfId="0" applyBorder="1"/>
    <xf numFmtId="0" fontId="0" fillId="0" borderId="0" xfId="0" applyBorder="1"/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left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8" fillId="0" borderId="0" xfId="0" applyFont="1" applyBorder="1" applyAlignment="1">
      <alignment horizontal="right"/>
    </xf>
    <xf numFmtId="2" fontId="0" fillId="0" borderId="0" xfId="0" applyNumberFormat="1" applyAlignment="1">
      <alignment horizontal="left"/>
    </xf>
    <xf numFmtId="169" fontId="0" fillId="0" borderId="0" xfId="0" applyNumberFormat="1" applyAlignment="1">
      <alignment horizontal="left"/>
    </xf>
    <xf numFmtId="0" fontId="0" fillId="8" borderId="0" xfId="0" applyFill="1" applyBorder="1" applyAlignment="1" applyProtection="1">
      <alignment horizontal="center" vertical="center"/>
      <protection locked="0"/>
    </xf>
    <xf numFmtId="0" fontId="0" fillId="5" borderId="0" xfId="0" applyFill="1" applyBorder="1" applyAlignment="1" applyProtection="1">
      <alignment horizontal="center" vertical="center"/>
      <protection locked="0"/>
    </xf>
    <xf numFmtId="0" fontId="0" fillId="7" borderId="0" xfId="0" applyFill="1" applyBorder="1" applyAlignment="1" applyProtection="1">
      <alignment horizontal="center" vertical="center"/>
      <protection locked="0"/>
    </xf>
    <xf numFmtId="0" fontId="9" fillId="0" borderId="0" xfId="0" applyFont="1"/>
    <xf numFmtId="0" fontId="10" fillId="0" borderId="0" xfId="0" applyFont="1"/>
    <xf numFmtId="0" fontId="11" fillId="0" borderId="0" xfId="0" applyFont="1" applyAlignment="1">
      <alignment horizontal="right"/>
    </xf>
    <xf numFmtId="0" fontId="0" fillId="3" borderId="9" xfId="0" applyFill="1" applyBorder="1" applyAlignment="1" applyProtection="1">
      <alignment horizontal="center" vertical="center"/>
    </xf>
    <xf numFmtId="0" fontId="0" fillId="2" borderId="9" xfId="0" applyFill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12" fillId="0" borderId="6" xfId="0" applyFont="1" applyBorder="1"/>
    <xf numFmtId="0" fontId="14" fillId="0" borderId="6" xfId="0" applyFont="1" applyBorder="1"/>
    <xf numFmtId="172" fontId="0" fillId="8" borderId="6" xfId="0" applyNumberFormat="1" applyFill="1" applyBorder="1" applyAlignment="1" applyProtection="1">
      <alignment horizontal="left"/>
      <protection locked="0"/>
    </xf>
    <xf numFmtId="172" fontId="0" fillId="7" borderId="6" xfId="0" applyNumberFormat="1" applyFill="1" applyBorder="1" applyAlignment="1" applyProtection="1">
      <alignment horizontal="left"/>
      <protection locked="0"/>
    </xf>
    <xf numFmtId="171" fontId="0" fillId="8" borderId="6" xfId="0" applyNumberFormat="1" applyFill="1" applyBorder="1" applyAlignment="1" applyProtection="1">
      <alignment horizontal="left"/>
      <protection locked="0"/>
    </xf>
    <xf numFmtId="170" fontId="0" fillId="7" borderId="6" xfId="0" applyNumberFormat="1" applyFill="1" applyBorder="1" applyAlignment="1" applyProtection="1">
      <alignment horizontal="left"/>
      <protection locked="0"/>
    </xf>
    <xf numFmtId="174" fontId="6" fillId="0" borderId="0" xfId="0" applyNumberFormat="1" applyFont="1"/>
    <xf numFmtId="174" fontId="7" fillId="0" borderId="0" xfId="0" applyNumberFormat="1" applyFont="1"/>
    <xf numFmtId="175" fontId="0" fillId="0" borderId="0" xfId="0" applyNumberFormat="1" applyAlignment="1">
      <alignment horizontal="center"/>
    </xf>
    <xf numFmtId="175" fontId="19" fillId="0" borderId="0" xfId="0" applyNumberFormat="1" applyFont="1" applyAlignment="1">
      <alignment horizontal="center"/>
    </xf>
    <xf numFmtId="176" fontId="0" fillId="7" borderId="0" xfId="0" applyNumberFormat="1" applyFill="1" applyProtection="1">
      <protection locked="0"/>
    </xf>
    <xf numFmtId="176" fontId="0" fillId="0" borderId="0" xfId="0" applyNumberFormat="1" applyProtection="1">
      <protection locked="0"/>
    </xf>
    <xf numFmtId="2" fontId="0" fillId="0" borderId="0" xfId="0" applyNumberFormat="1"/>
    <xf numFmtId="175" fontId="0" fillId="0" borderId="0" xfId="0" applyNumberFormat="1"/>
    <xf numFmtId="172" fontId="0" fillId="0" borderId="0" xfId="0" applyNumberFormat="1"/>
    <xf numFmtId="177" fontId="0" fillId="0" borderId="0" xfId="0" applyNumberFormat="1"/>
    <xf numFmtId="172" fontId="0" fillId="0" borderId="0" xfId="0" applyNumberFormat="1" applyAlignment="1">
      <alignment horizontal="left"/>
    </xf>
    <xf numFmtId="172" fontId="8" fillId="0" borderId="0" xfId="0" applyNumberFormat="1" applyFont="1" applyAlignment="1">
      <alignment horizontal="center"/>
    </xf>
    <xf numFmtId="178" fontId="0" fillId="0" borderId="0" xfId="0" applyNumberFormat="1"/>
    <xf numFmtId="0" fontId="0" fillId="0" borderId="0" xfId="0" applyFont="1" applyAlignment="1">
      <alignment horizontal="center"/>
    </xf>
    <xf numFmtId="169" fontId="0" fillId="0" borderId="0" xfId="0" applyNumberFormat="1"/>
    <xf numFmtId="179" fontId="0" fillId="0" borderId="0" xfId="0" applyNumberFormat="1"/>
    <xf numFmtId="0" fontId="19" fillId="0" borderId="0" xfId="0" applyFont="1" applyAlignment="1">
      <alignment horizontal="center"/>
    </xf>
    <xf numFmtId="0" fontId="0" fillId="7" borderId="0" xfId="0" applyFill="1" applyAlignment="1">
      <alignment horizontal="center"/>
    </xf>
    <xf numFmtId="0" fontId="8" fillId="0" borderId="0" xfId="0" applyFont="1"/>
    <xf numFmtId="175" fontId="8" fillId="0" borderId="0" xfId="0" applyNumberFormat="1" applyFont="1"/>
    <xf numFmtId="0" fontId="20" fillId="0" borderId="0" xfId="0" applyFont="1"/>
    <xf numFmtId="172" fontId="8" fillId="0" borderId="0" xfId="0" applyNumberFormat="1" applyFont="1" applyAlignment="1">
      <alignment horizontal="left"/>
    </xf>
    <xf numFmtId="0" fontId="8" fillId="0" borderId="0" xfId="0" applyFont="1" applyAlignment="1">
      <alignment horizontal="right"/>
    </xf>
    <xf numFmtId="182" fontId="0" fillId="0" borderId="0" xfId="0" applyNumberFormat="1"/>
    <xf numFmtId="183" fontId="0" fillId="0" borderId="0" xfId="0" applyNumberFormat="1" applyAlignment="1">
      <alignment horizontal="left"/>
    </xf>
    <xf numFmtId="0" fontId="0" fillId="10" borderId="0" xfId="0" applyFill="1" applyAlignment="1">
      <alignment horizontal="center" vertical="center"/>
    </xf>
    <xf numFmtId="184" fontId="0" fillId="9" borderId="0" xfId="0" applyNumberFormat="1" applyFill="1" applyAlignment="1">
      <alignment vertical="center"/>
    </xf>
    <xf numFmtId="185" fontId="0" fillId="9" borderId="0" xfId="0" applyNumberFormat="1" applyFill="1" applyAlignment="1">
      <alignment horizontal="center" vertical="center"/>
    </xf>
    <xf numFmtId="0" fontId="0" fillId="0" borderId="0" xfId="0" applyAlignment="1">
      <alignment vertical="center"/>
    </xf>
    <xf numFmtId="183" fontId="18" fillId="0" borderId="0" xfId="0" applyNumberFormat="1" applyFont="1" applyAlignment="1">
      <alignment horizontal="left"/>
    </xf>
    <xf numFmtId="186" fontId="0" fillId="0" borderId="0" xfId="0" applyNumberFormat="1"/>
    <xf numFmtId="187" fontId="0" fillId="0" borderId="0" xfId="0" applyNumberFormat="1"/>
    <xf numFmtId="189" fontId="0" fillId="0" borderId="0" xfId="0" applyNumberFormat="1"/>
    <xf numFmtId="183" fontId="0" fillId="0" borderId="0" xfId="0" applyNumberFormat="1"/>
    <xf numFmtId="190" fontId="0" fillId="0" borderId="0" xfId="0" applyNumberFormat="1"/>
    <xf numFmtId="0" fontId="21" fillId="0" borderId="0" xfId="0" applyFont="1" applyAlignment="1">
      <alignment horizontal="center"/>
    </xf>
    <xf numFmtId="191" fontId="0" fillId="0" borderId="0" xfId="0" applyNumberFormat="1" applyAlignment="1">
      <alignment horizontal="center"/>
    </xf>
    <xf numFmtId="192" fontId="0" fillId="0" borderId="0" xfId="0" applyNumberFormat="1"/>
    <xf numFmtId="193" fontId="0" fillId="0" borderId="0" xfId="0" applyNumberFormat="1"/>
    <xf numFmtId="194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197" fontId="0" fillId="0" borderId="0" xfId="0" applyNumberFormat="1" applyAlignment="1">
      <alignment horizontal="center"/>
    </xf>
    <xf numFmtId="1" fontId="0" fillId="0" borderId="0" xfId="0" applyNumberFormat="1" applyAlignment="1">
      <alignment horizontal="left"/>
    </xf>
    <xf numFmtId="189" fontId="0" fillId="0" borderId="1" xfId="0" applyNumberFormat="1" applyBorder="1"/>
    <xf numFmtId="198" fontId="0" fillId="0" borderId="1" xfId="0" applyNumberFormat="1" applyBorder="1"/>
    <xf numFmtId="199" fontId="0" fillId="0" borderId="1" xfId="0" applyNumberFormat="1" applyBorder="1" applyAlignment="1">
      <alignment horizontal="left"/>
    </xf>
    <xf numFmtId="200" fontId="0" fillId="0" borderId="0" xfId="0" applyNumberFormat="1"/>
    <xf numFmtId="201" fontId="0" fillId="0" borderId="0" xfId="0" applyNumberFormat="1" applyAlignment="1">
      <alignment horizontal="left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7" borderId="0" xfId="0" applyFill="1" applyAlignment="1" applyProtection="1">
      <alignment horizontal="center"/>
      <protection locked="0"/>
    </xf>
    <xf numFmtId="0" fontId="0" fillId="5" borderId="0" xfId="0" applyFill="1" applyAlignment="1" applyProtection="1">
      <alignment horizontal="center"/>
      <protection locked="0"/>
    </xf>
    <xf numFmtId="167" fontId="0" fillId="0" borderId="0" xfId="0" applyNumberFormat="1" applyAlignment="1">
      <alignment horizontal="left" vertical="center"/>
    </xf>
    <xf numFmtId="167" fontId="0" fillId="0" borderId="0" xfId="0" applyNumberFormat="1" applyAlignment="1">
      <alignment horizontal="left"/>
    </xf>
    <xf numFmtId="180" fontId="0" fillId="5" borderId="0" xfId="0" applyNumberFormat="1" applyFill="1" applyProtection="1">
      <protection locked="0"/>
    </xf>
    <xf numFmtId="1" fontId="0" fillId="3" borderId="0" xfId="0" applyNumberFormat="1" applyFill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1" fontId="0" fillId="4" borderId="10" xfId="0" applyNumberFormat="1" applyFont="1" applyFill="1" applyBorder="1" applyAlignment="1">
      <alignment horizontal="center" vertical="center"/>
    </xf>
    <xf numFmtId="1" fontId="0" fillId="4" borderId="8" xfId="0" applyNumberFormat="1" applyFont="1" applyFill="1" applyBorder="1" applyAlignment="1">
      <alignment horizontal="center" vertical="center"/>
    </xf>
    <xf numFmtId="1" fontId="0" fillId="2" borderId="10" xfId="0" applyNumberFormat="1" applyFill="1" applyBorder="1" applyAlignment="1">
      <alignment horizontal="center" vertical="center"/>
    </xf>
    <xf numFmtId="1" fontId="0" fillId="3" borderId="10" xfId="0" applyNumberFormat="1" applyFill="1" applyBorder="1" applyAlignment="1">
      <alignment horizontal="center" vertical="center"/>
    </xf>
    <xf numFmtId="1" fontId="0" fillId="2" borderId="8" xfId="0" applyNumberForma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0" fillId="0" borderId="14" xfId="0" applyBorder="1" applyAlignment="1">
      <alignment horizontal="center"/>
    </xf>
    <xf numFmtId="196" fontId="0" fillId="0" borderId="0" xfId="0" applyNumberFormat="1" applyAlignment="1">
      <alignment horizontal="center"/>
    </xf>
    <xf numFmtId="0" fontId="1" fillId="4" borderId="9" xfId="0" applyFont="1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11" borderId="0" xfId="0" applyFill="1"/>
    <xf numFmtId="0" fontId="0" fillId="12" borderId="0" xfId="0" applyFill="1"/>
    <xf numFmtId="0" fontId="0" fillId="6" borderId="0" xfId="0" applyFill="1"/>
    <xf numFmtId="175" fontId="0" fillId="2" borderId="0" xfId="0" applyNumberFormat="1" applyFill="1"/>
    <xf numFmtId="175" fontId="0" fillId="11" borderId="0" xfId="0" applyNumberFormat="1" applyFill="1"/>
    <xf numFmtId="0" fontId="0" fillId="9" borderId="6" xfId="0" applyFill="1" applyBorder="1"/>
    <xf numFmtId="172" fontId="0" fillId="9" borderId="6" xfId="0" applyNumberFormat="1" applyFill="1" applyBorder="1" applyAlignment="1">
      <alignment horizontal="left"/>
    </xf>
    <xf numFmtId="0" fontId="0" fillId="4" borderId="0" xfId="0" applyFill="1" applyAlignment="1">
      <alignment horizontal="center"/>
    </xf>
    <xf numFmtId="175" fontId="0" fillId="4" borderId="0" xfId="0" applyNumberFormat="1" applyFill="1"/>
    <xf numFmtId="0" fontId="0" fillId="6" borderId="0" xfId="0" applyFill="1" applyAlignment="1">
      <alignment horizontal="center"/>
    </xf>
    <xf numFmtId="0" fontId="15" fillId="0" borderId="6" xfId="0" applyFont="1" applyBorder="1"/>
    <xf numFmtId="173" fontId="0" fillId="7" borderId="6" xfId="0" applyNumberFormat="1" applyFill="1" applyBorder="1" applyAlignment="1" applyProtection="1">
      <alignment horizontal="left"/>
      <protection locked="0"/>
    </xf>
    <xf numFmtId="203" fontId="0" fillId="0" borderId="0" xfId="0" applyNumberFormat="1" applyAlignment="1">
      <alignment horizontal="center"/>
    </xf>
    <xf numFmtId="204" fontId="0" fillId="0" borderId="0" xfId="0" applyNumberFormat="1" applyAlignment="1">
      <alignment horizontal="center"/>
    </xf>
    <xf numFmtId="0" fontId="0" fillId="12" borderId="0" xfId="0" applyFill="1" applyAlignment="1">
      <alignment horizontal="center"/>
    </xf>
    <xf numFmtId="0" fontId="13" fillId="0" borderId="1" xfId="0" applyFont="1" applyBorder="1" applyAlignment="1">
      <alignment horizontal="center"/>
    </xf>
    <xf numFmtId="0" fontId="14" fillId="0" borderId="14" xfId="0" applyFont="1" applyBorder="1"/>
    <xf numFmtId="0" fontId="0" fillId="0" borderId="4" xfId="0" applyBorder="1"/>
    <xf numFmtId="0" fontId="0" fillId="0" borderId="5" xfId="0" applyBorder="1"/>
    <xf numFmtId="0" fontId="0" fillId="0" borderId="15" xfId="0" applyBorder="1"/>
    <xf numFmtId="0" fontId="0" fillId="0" borderId="12" xfId="0" applyBorder="1"/>
    <xf numFmtId="0" fontId="13" fillId="0" borderId="0" xfId="0" applyFont="1" applyBorder="1" applyAlignment="1">
      <alignment horizontal="center"/>
    </xf>
    <xf numFmtId="206" fontId="0" fillId="0" borderId="0" xfId="0" applyNumberFormat="1" applyBorder="1" applyAlignment="1"/>
    <xf numFmtId="175" fontId="0" fillId="0" borderId="1" xfId="0" applyNumberFormat="1" applyBorder="1" applyAlignment="1">
      <alignment horizontal="center"/>
    </xf>
    <xf numFmtId="207" fontId="0" fillId="0" borderId="0" xfId="0" applyNumberFormat="1"/>
    <xf numFmtId="208" fontId="0" fillId="0" borderId="0" xfId="0" applyNumberFormat="1"/>
    <xf numFmtId="2" fontId="0" fillId="0" borderId="0" xfId="0" applyNumberFormat="1" applyAlignment="1">
      <alignment horizontal="right"/>
    </xf>
    <xf numFmtId="0" fontId="0" fillId="2" borderId="0" xfId="0" applyFill="1"/>
    <xf numFmtId="0" fontId="0" fillId="5" borderId="0" xfId="0" applyFill="1" applyProtection="1">
      <protection locked="0"/>
    </xf>
    <xf numFmtId="209" fontId="0" fillId="0" borderId="0" xfId="0" applyNumberFormat="1"/>
    <xf numFmtId="0" fontId="0" fillId="9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2" borderId="0" xfId="0" applyFill="1" applyAlignment="1">
      <alignment horizontal="center"/>
    </xf>
    <xf numFmtId="188" fontId="0" fillId="2" borderId="0" xfId="0" applyNumberFormat="1" applyFill="1" applyAlignment="1">
      <alignment horizontal="center"/>
    </xf>
    <xf numFmtId="0" fontId="0" fillId="0" borderId="0" xfId="0" applyAlignment="1">
      <alignment horizontal="center" vertical="top"/>
    </xf>
    <xf numFmtId="210" fontId="0" fillId="0" borderId="0" xfId="0" applyNumberFormat="1"/>
    <xf numFmtId="2" fontId="5" fillId="0" borderId="0" xfId="0" applyNumberFormat="1" applyFont="1"/>
    <xf numFmtId="2" fontId="0" fillId="2" borderId="0" xfId="0" applyNumberFormat="1" applyFill="1" applyAlignment="1">
      <alignment horizontal="center"/>
    </xf>
    <xf numFmtId="0" fontId="0" fillId="16" borderId="0" xfId="0" applyFill="1" applyAlignment="1">
      <alignment horizontal="center"/>
    </xf>
    <xf numFmtId="188" fontId="0" fillId="15" borderId="0" xfId="0" applyNumberFormat="1" applyFill="1" applyAlignment="1">
      <alignment horizontal="center"/>
    </xf>
    <xf numFmtId="0" fontId="0" fillId="4" borderId="0" xfId="0" applyFill="1" applyAlignment="1" applyProtection="1">
      <alignment horizontal="center"/>
      <protection locked="0"/>
    </xf>
    <xf numFmtId="188" fontId="0" fillId="0" borderId="0" xfId="0" applyNumberFormat="1" applyAlignment="1">
      <alignment horizontal="center"/>
    </xf>
    <xf numFmtId="211" fontId="0" fillId="0" borderId="0" xfId="0" applyNumberFormat="1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183" fontId="0" fillId="0" borderId="0" xfId="0" applyNumberFormat="1" applyAlignment="1">
      <alignment horizontal="left" vertical="top"/>
    </xf>
    <xf numFmtId="2" fontId="0" fillId="0" borderId="0" xfId="0" applyNumberFormat="1" applyAlignment="1">
      <alignment horizontal="right" vertical="center"/>
    </xf>
    <xf numFmtId="0" fontId="26" fillId="0" borderId="0" xfId="0" applyFont="1" applyAlignment="1">
      <alignment horizontal="left"/>
    </xf>
    <xf numFmtId="212" fontId="0" fillId="0" borderId="0" xfId="0" applyNumberFormat="1" applyAlignment="1">
      <alignment horizontal="center"/>
    </xf>
    <xf numFmtId="213" fontId="8" fillId="0" borderId="0" xfId="0" applyNumberFormat="1" applyFont="1" applyAlignment="1">
      <alignment horizontal="center"/>
    </xf>
    <xf numFmtId="0" fontId="26" fillId="0" borderId="0" xfId="0" applyFont="1" applyAlignment="1">
      <alignment horizontal="right"/>
    </xf>
    <xf numFmtId="215" fontId="0" fillId="0" borderId="0" xfId="0" applyNumberFormat="1"/>
    <xf numFmtId="217" fontId="0" fillId="0" borderId="0" xfId="0" applyNumberFormat="1"/>
    <xf numFmtId="218" fontId="0" fillId="2" borderId="0" xfId="0" applyNumberFormat="1" applyFill="1"/>
    <xf numFmtId="219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220" fontId="0" fillId="0" borderId="0" xfId="0" applyNumberFormat="1"/>
    <xf numFmtId="221" fontId="0" fillId="0" borderId="0" xfId="0" applyNumberFormat="1" applyAlignment="1">
      <alignment horizontal="center"/>
    </xf>
    <xf numFmtId="222" fontId="0" fillId="0" borderId="0" xfId="0" applyNumberFormat="1"/>
    <xf numFmtId="223" fontId="0" fillId="0" borderId="0" xfId="0" applyNumberFormat="1"/>
    <xf numFmtId="224" fontId="0" fillId="0" borderId="0" xfId="0" applyNumberFormat="1" applyAlignment="1">
      <alignment horizontal="center"/>
    </xf>
    <xf numFmtId="220" fontId="8" fillId="0" borderId="0" xfId="0" applyNumberFormat="1" applyFont="1"/>
    <xf numFmtId="225" fontId="0" fillId="0" borderId="0" xfId="0" applyNumberFormat="1"/>
    <xf numFmtId="226" fontId="0" fillId="0" borderId="0" xfId="0" applyNumberFormat="1"/>
    <xf numFmtId="227" fontId="0" fillId="0" borderId="0" xfId="0" applyNumberFormat="1"/>
    <xf numFmtId="0" fontId="11" fillId="0" borderId="0" xfId="0" applyFont="1" applyAlignment="1">
      <alignment horizontal="center"/>
    </xf>
    <xf numFmtId="225" fontId="11" fillId="0" borderId="0" xfId="0" applyNumberFormat="1" applyFont="1" applyAlignment="1">
      <alignment horizontal="center"/>
    </xf>
    <xf numFmtId="226" fontId="11" fillId="0" borderId="0" xfId="0" applyNumberFormat="1" applyFont="1" applyAlignment="1">
      <alignment horizontal="center"/>
    </xf>
    <xf numFmtId="228" fontId="0" fillId="0" borderId="0" xfId="0" applyNumberFormat="1" applyAlignment="1">
      <alignment horizontal="left"/>
    </xf>
    <xf numFmtId="229" fontId="0" fillId="0" borderId="0" xfId="0" applyNumberFormat="1" applyAlignment="1">
      <alignment horizontal="center"/>
    </xf>
    <xf numFmtId="164" fontId="8" fillId="0" borderId="0" xfId="0" applyNumberFormat="1" applyFont="1" applyAlignment="1">
      <alignment horizontal="left"/>
    </xf>
    <xf numFmtId="0" fontId="0" fillId="14" borderId="0" xfId="0" applyFill="1" applyAlignment="1">
      <alignment horizontal="right"/>
    </xf>
    <xf numFmtId="0" fontId="0" fillId="13" borderId="0" xfId="0" applyFill="1" applyAlignment="1">
      <alignment horizontal="left"/>
    </xf>
    <xf numFmtId="0" fontId="0" fillId="4" borderId="0" xfId="0" applyFill="1" applyAlignment="1">
      <alignment horizontal="left"/>
    </xf>
    <xf numFmtId="0" fontId="0" fillId="15" borderId="0" xfId="0" applyFill="1"/>
    <xf numFmtId="2" fontId="0" fillId="15" borderId="0" xfId="0" applyNumberFormat="1" applyFill="1" applyAlignment="1">
      <alignment horizontal="center"/>
    </xf>
    <xf numFmtId="2" fontId="8" fillId="0" borderId="0" xfId="0" applyNumberFormat="1" applyFont="1" applyAlignment="1">
      <alignment horizontal="left"/>
    </xf>
    <xf numFmtId="201" fontId="0" fillId="12" borderId="0" xfId="0" applyNumberFormat="1" applyFill="1" applyAlignment="1">
      <alignment horizontal="left"/>
    </xf>
    <xf numFmtId="201" fontId="0" fillId="11" borderId="0" xfId="0" applyNumberFormat="1" applyFill="1" applyAlignment="1">
      <alignment horizontal="left"/>
    </xf>
    <xf numFmtId="183" fontId="25" fillId="0" borderId="0" xfId="0" applyNumberFormat="1" applyFont="1" applyAlignment="1">
      <alignment horizontal="right"/>
    </xf>
    <xf numFmtId="214" fontId="7" fillId="0" borderId="0" xfId="0" applyNumberFormat="1" applyFont="1" applyAlignment="1">
      <alignment horizontal="center"/>
    </xf>
    <xf numFmtId="1" fontId="0" fillId="9" borderId="0" xfId="0" applyNumberFormat="1" applyFill="1" applyAlignment="1" applyProtection="1">
      <alignment horizontal="center"/>
    </xf>
    <xf numFmtId="191" fontId="0" fillId="0" borderId="0" xfId="0" applyNumberFormat="1" applyAlignment="1">
      <alignment horizontal="left"/>
    </xf>
    <xf numFmtId="231" fontId="0" fillId="0" borderId="0" xfId="0" applyNumberFormat="1"/>
    <xf numFmtId="232" fontId="0" fillId="0" borderId="0" xfId="0" applyNumberFormat="1" applyAlignment="1">
      <alignment horizontal="center"/>
    </xf>
    <xf numFmtId="233" fontId="0" fillId="0" borderId="0" xfId="0" applyNumberFormat="1"/>
    <xf numFmtId="234" fontId="0" fillId="0" borderId="0" xfId="0" applyNumberFormat="1"/>
    <xf numFmtId="234" fontId="0" fillId="9" borderId="0" xfId="0" applyNumberFormat="1" applyFill="1"/>
    <xf numFmtId="235" fontId="0" fillId="0" borderId="0" xfId="0" applyNumberFormat="1"/>
    <xf numFmtId="237" fontId="0" fillId="0" borderId="0" xfId="0" applyNumberFormat="1" applyAlignment="1">
      <alignment horizontal="center"/>
    </xf>
    <xf numFmtId="238" fontId="0" fillId="0" borderId="0" xfId="0" applyNumberFormat="1"/>
    <xf numFmtId="236" fontId="0" fillId="0" borderId="0" xfId="0" applyNumberFormat="1" applyAlignment="1">
      <alignment horizontal="center"/>
    </xf>
    <xf numFmtId="185" fontId="0" fillId="0" borderId="0" xfId="0" applyNumberFormat="1" applyAlignment="1">
      <alignment horizontal="left"/>
    </xf>
    <xf numFmtId="185" fontId="0" fillId="0" borderId="0" xfId="0" applyNumberFormat="1" applyAlignment="1">
      <alignment horizontal="center"/>
    </xf>
    <xf numFmtId="239" fontId="0" fillId="0" borderId="0" xfId="0" applyNumberFormat="1" applyAlignment="1">
      <alignment horizontal="center"/>
    </xf>
    <xf numFmtId="164" fontId="0" fillId="4" borderId="0" xfId="0" applyNumberFormat="1" applyFill="1" applyAlignment="1">
      <alignment horizontal="left"/>
    </xf>
    <xf numFmtId="164" fontId="0" fillId="5" borderId="0" xfId="0" applyNumberFormat="1" applyFill="1" applyAlignment="1" applyProtection="1">
      <alignment horizontal="left"/>
      <protection locked="0"/>
    </xf>
    <xf numFmtId="2" fontId="8" fillId="9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left"/>
    </xf>
    <xf numFmtId="0" fontId="0" fillId="4" borderId="0" xfId="0" applyFill="1" applyProtection="1">
      <protection locked="0"/>
    </xf>
    <xf numFmtId="189" fontId="7" fillId="0" borderId="0" xfId="0" applyNumberFormat="1" applyFont="1"/>
    <xf numFmtId="0" fontId="13" fillId="0" borderId="1" xfId="0" applyFont="1" applyBorder="1" applyAlignment="1" applyProtection="1">
      <alignment horizontal="center"/>
      <protection hidden="1"/>
    </xf>
    <xf numFmtId="0" fontId="0" fillId="4" borderId="0" xfId="0" applyFill="1" applyAlignment="1">
      <alignment horizontal="right"/>
    </xf>
    <xf numFmtId="225" fontId="7" fillId="0" borderId="0" xfId="0" applyNumberFormat="1" applyFont="1"/>
    <xf numFmtId="184" fontId="7" fillId="0" borderId="0" xfId="0" applyNumberFormat="1" applyFont="1"/>
    <xf numFmtId="183" fontId="7" fillId="0" borderId="0" xfId="0" applyNumberFormat="1" applyFont="1" applyAlignment="1">
      <alignment horizontal="left"/>
    </xf>
    <xf numFmtId="184" fontId="6" fillId="0" borderId="0" xfId="0" applyNumberFormat="1" applyFont="1"/>
    <xf numFmtId="243" fontId="6" fillId="0" borderId="0" xfId="0" applyNumberFormat="1" applyFont="1" applyAlignment="1">
      <alignment horizontal="center"/>
    </xf>
    <xf numFmtId="242" fontId="6" fillId="0" borderId="0" xfId="0" applyNumberFormat="1" applyFont="1"/>
    <xf numFmtId="0" fontId="0" fillId="0" borderId="0" xfId="0" applyAlignment="1"/>
    <xf numFmtId="246" fontId="0" fillId="0" borderId="0" xfId="0" applyNumberFormat="1"/>
    <xf numFmtId="0" fontId="0" fillId="0" borderId="0" xfId="0"/>
    <xf numFmtId="0" fontId="0" fillId="6" borderId="0" xfId="0" applyFill="1"/>
    <xf numFmtId="0" fontId="5" fillId="0" borderId="0" xfId="0" applyFont="1"/>
    <xf numFmtId="0" fontId="4" fillId="0" borderId="0" xfId="0" applyFont="1" applyAlignment="1">
      <alignment horizontal="right"/>
    </xf>
    <xf numFmtId="0" fontId="0" fillId="0" borderId="0" xfId="0" applyAlignment="1">
      <alignment horizontal="right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13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/>
    <xf numFmtId="0" fontId="0" fillId="0" borderId="0" xfId="0" applyAlignment="1">
      <alignment horizontal="right"/>
    </xf>
    <xf numFmtId="0" fontId="0" fillId="0" borderId="0" xfId="0" applyFill="1" applyAlignment="1">
      <alignment horizontal="right"/>
    </xf>
    <xf numFmtId="245" fontId="0" fillId="0" borderId="0" xfId="0" applyNumberFormat="1" applyFill="1" applyAlignment="1">
      <alignment horizontal="center"/>
    </xf>
    <xf numFmtId="0" fontId="0" fillId="0" borderId="0" xfId="0" applyFill="1"/>
    <xf numFmtId="0" fontId="28" fillId="6" borderId="0" xfId="0" applyFont="1" applyFill="1"/>
    <xf numFmtId="244" fontId="0" fillId="0" borderId="0" xfId="0" applyNumberFormat="1"/>
    <xf numFmtId="247" fontId="0" fillId="0" borderId="0" xfId="0" applyNumberFormat="1" applyAlignment="1">
      <alignment horizontal="left"/>
    </xf>
    <xf numFmtId="247" fontId="0" fillId="0" borderId="0" xfId="0" applyNumberFormat="1"/>
    <xf numFmtId="245" fontId="0" fillId="0" borderId="0" xfId="0" applyNumberFormat="1" applyFill="1" applyAlignment="1">
      <alignment horizontal="left"/>
    </xf>
    <xf numFmtId="0" fontId="0" fillId="0" borderId="0" xfId="0"/>
    <xf numFmtId="2" fontId="0" fillId="0" borderId="0" xfId="0" applyNumberFormat="1" applyAlignment="1">
      <alignment horizontal="left"/>
    </xf>
    <xf numFmtId="0" fontId="0" fillId="0" borderId="0" xfId="0" applyAlignment="1">
      <alignment horizontal="right"/>
    </xf>
    <xf numFmtId="247" fontId="0" fillId="0" borderId="6" xfId="0" applyNumberFormat="1" applyBorder="1" applyAlignment="1">
      <alignment horizontal="center"/>
    </xf>
    <xf numFmtId="1" fontId="0" fillId="0" borderId="6" xfId="0" applyNumberFormat="1" applyBorder="1" applyAlignment="1">
      <alignment horizontal="center"/>
    </xf>
    <xf numFmtId="2" fontId="0" fillId="5" borderId="0" xfId="0" applyNumberFormat="1" applyFill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193" fontId="0" fillId="0" borderId="1" xfId="0" applyNumberFormat="1" applyBorder="1" applyAlignment="1">
      <alignment horizontal="center"/>
    </xf>
    <xf numFmtId="249" fontId="0" fillId="0" borderId="0" xfId="0" applyNumberFormat="1" applyAlignment="1">
      <alignment horizontal="center"/>
    </xf>
    <xf numFmtId="250" fontId="0" fillId="0" borderId="0" xfId="0" applyNumberFormat="1" applyAlignment="1">
      <alignment horizontal="left"/>
    </xf>
    <xf numFmtId="251" fontId="0" fillId="11" borderId="0" xfId="0" applyNumberFormat="1" applyFill="1" applyAlignment="1">
      <alignment horizontal="left"/>
    </xf>
    <xf numFmtId="0" fontId="4" fillId="0" borderId="0" xfId="0" applyFont="1"/>
    <xf numFmtId="252" fontId="0" fillId="0" borderId="0" xfId="0" applyNumberFormat="1" applyAlignment="1">
      <alignment horizontal="center"/>
    </xf>
    <xf numFmtId="253" fontId="0" fillId="0" borderId="0" xfId="0" applyNumberFormat="1"/>
    <xf numFmtId="193" fontId="0" fillId="0" borderId="0" xfId="0" applyNumberFormat="1" applyFont="1" applyBorder="1" applyAlignment="1">
      <alignment horizontal="center"/>
    </xf>
    <xf numFmtId="247" fontId="0" fillId="0" borderId="0" xfId="0" applyNumberFormat="1" applyAlignment="1">
      <alignment horizontal="center"/>
    </xf>
    <xf numFmtId="193" fontId="0" fillId="0" borderId="0" xfId="0" applyNumberFormat="1" applyBorder="1" applyAlignment="1">
      <alignment horizontal="center"/>
    </xf>
    <xf numFmtId="251" fontId="0" fillId="2" borderId="0" xfId="0" applyNumberFormat="1" applyFill="1" applyAlignment="1">
      <alignment horizontal="left"/>
    </xf>
    <xf numFmtId="252" fontId="0" fillId="0" borderId="0" xfId="0" applyNumberFormat="1" applyAlignment="1">
      <alignment horizontal="right"/>
    </xf>
    <xf numFmtId="254" fontId="0" fillId="0" borderId="0" xfId="0" applyNumberFormat="1"/>
    <xf numFmtId="254" fontId="8" fillId="0" borderId="0" xfId="0" applyNumberFormat="1" applyFont="1" applyAlignment="1">
      <alignment horizontal="center"/>
    </xf>
    <xf numFmtId="255" fontId="0" fillId="0" borderId="0" xfId="0" applyNumberFormat="1" applyAlignment="1">
      <alignment horizontal="center"/>
    </xf>
    <xf numFmtId="255" fontId="0" fillId="0" borderId="0" xfId="0" applyNumberFormat="1" applyAlignment="1">
      <alignment horizontal="right"/>
    </xf>
    <xf numFmtId="254" fontId="0" fillId="0" borderId="0" xfId="0" applyNumberFormat="1" applyAlignment="1">
      <alignment horizontal="center"/>
    </xf>
    <xf numFmtId="254" fontId="0" fillId="14" borderId="0" xfId="0" applyNumberFormat="1" applyFill="1" applyAlignment="1">
      <alignment horizontal="center"/>
    </xf>
    <xf numFmtId="241" fontId="0" fillId="0" borderId="0" xfId="0" applyNumberFormat="1" applyAlignment="1">
      <alignment horizontal="right"/>
    </xf>
    <xf numFmtId="0" fontId="19" fillId="0" borderId="4" xfId="0" applyFont="1" applyBorder="1" applyProtection="1">
      <protection hidden="1"/>
    </xf>
    <xf numFmtId="0" fontId="13" fillId="0" borderId="5" xfId="0" applyFont="1" applyBorder="1" applyProtection="1">
      <protection hidden="1"/>
    </xf>
    <xf numFmtId="0" fontId="13" fillId="0" borderId="1" xfId="0" applyFont="1" applyBorder="1" applyProtection="1">
      <protection hidden="1"/>
    </xf>
    <xf numFmtId="0" fontId="13" fillId="0" borderId="12" xfId="0" applyFont="1" applyBorder="1" applyAlignment="1" applyProtection="1">
      <alignment horizontal="center"/>
      <protection hidden="1"/>
    </xf>
    <xf numFmtId="256" fontId="0" fillId="0" borderId="0" xfId="0" applyNumberFormat="1" applyAlignment="1">
      <alignment horizontal="left"/>
    </xf>
    <xf numFmtId="2" fontId="0" fillId="14" borderId="0" xfId="0" applyNumberFormat="1" applyFill="1" applyAlignment="1">
      <alignment horizontal="center"/>
    </xf>
    <xf numFmtId="0" fontId="19" fillId="0" borderId="0" xfId="0" applyFont="1" applyAlignment="1">
      <alignment horizontal="right"/>
    </xf>
    <xf numFmtId="257" fontId="0" fillId="0" borderId="0" xfId="0" applyNumberFormat="1" applyAlignment="1">
      <alignment horizontal="left"/>
    </xf>
    <xf numFmtId="0" fontId="28" fillId="0" borderId="0" xfId="0" applyFont="1" applyBorder="1"/>
    <xf numFmtId="0" fontId="28" fillId="0" borderId="0" xfId="0" applyFont="1" applyBorder="1" applyAlignment="1" applyProtection="1">
      <alignment horizontal="center"/>
      <protection hidden="1"/>
    </xf>
    <xf numFmtId="12" fontId="28" fillId="0" borderId="0" xfId="0" applyNumberFormat="1" applyFont="1" applyBorder="1" applyAlignment="1" applyProtection="1">
      <alignment horizontal="center"/>
      <protection hidden="1"/>
    </xf>
    <xf numFmtId="258" fontId="0" fillId="0" borderId="0" xfId="0" applyNumberFormat="1" applyAlignment="1">
      <alignment horizontal="center"/>
    </xf>
    <xf numFmtId="0" fontId="34" fillId="0" borderId="6" xfId="0" applyFont="1" applyBorder="1" applyAlignment="1" applyProtection="1">
      <alignment horizontal="center" vertical="center"/>
      <protection hidden="1"/>
    </xf>
    <xf numFmtId="0" fontId="34" fillId="0" borderId="6" xfId="0" applyFont="1" applyBorder="1" applyAlignment="1" applyProtection="1">
      <alignment vertical="center"/>
      <protection hidden="1"/>
    </xf>
    <xf numFmtId="247" fontId="8" fillId="0" borderId="0" xfId="0" applyNumberFormat="1" applyFont="1" applyAlignment="1">
      <alignment horizontal="center"/>
    </xf>
    <xf numFmtId="259" fontId="0" fillId="0" borderId="0" xfId="0" applyNumberFormat="1"/>
    <xf numFmtId="261" fontId="0" fillId="0" borderId="0" xfId="0" applyNumberFormat="1"/>
    <xf numFmtId="2" fontId="5" fillId="0" borderId="0" xfId="0" applyNumberFormat="1" applyFont="1" applyAlignment="1">
      <alignment horizontal="center"/>
    </xf>
    <xf numFmtId="248" fontId="0" fillId="5" borderId="6" xfId="0" applyNumberFormat="1" applyFill="1" applyBorder="1" applyAlignment="1" applyProtection="1">
      <alignment horizontal="center"/>
      <protection locked="0" hidden="1"/>
    </xf>
    <xf numFmtId="247" fontId="0" fillId="5" borderId="6" xfId="0" applyNumberFormat="1" applyFill="1" applyBorder="1" applyAlignment="1" applyProtection="1">
      <alignment horizontal="center"/>
      <protection locked="0" hidden="1"/>
    </xf>
    <xf numFmtId="1" fontId="0" fillId="5" borderId="6" xfId="0" applyNumberFormat="1" applyFill="1" applyBorder="1" applyAlignment="1" applyProtection="1">
      <alignment horizontal="center"/>
      <protection locked="0"/>
    </xf>
    <xf numFmtId="0" fontId="35" fillId="0" borderId="6" xfId="0" applyFont="1" applyBorder="1" applyAlignment="1" applyProtection="1">
      <alignment horizontal="center"/>
      <protection hidden="1"/>
    </xf>
    <xf numFmtId="0" fontId="35" fillId="0" borderId="6" xfId="0" applyFont="1" applyBorder="1" applyAlignment="1" applyProtection="1">
      <protection hidden="1"/>
    </xf>
    <xf numFmtId="12" fontId="35" fillId="0" borderId="6" xfId="0" applyNumberFormat="1" applyFont="1" applyBorder="1" applyAlignment="1" applyProtection="1">
      <alignment horizontal="center"/>
      <protection hidden="1"/>
    </xf>
    <xf numFmtId="0" fontId="11" fillId="0" borderId="0" xfId="0" applyFont="1"/>
    <xf numFmtId="20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16" fontId="0" fillId="0" borderId="0" xfId="0" applyNumberFormat="1" applyAlignment="1">
      <alignment horizontal="center"/>
    </xf>
    <xf numFmtId="219" fontId="0" fillId="0" borderId="0" xfId="0" applyNumberFormat="1" applyAlignment="1">
      <alignment horizontal="left"/>
    </xf>
    <xf numFmtId="0" fontId="0" fillId="6" borderId="0" xfId="0" applyFill="1" applyAlignment="1">
      <alignment horizontal="left"/>
    </xf>
    <xf numFmtId="0" fontId="0" fillId="13" borderId="0" xfId="0" applyFill="1" applyAlignment="1">
      <alignment horizontal="center"/>
    </xf>
    <xf numFmtId="0" fontId="0" fillId="11" borderId="0" xfId="0" applyFill="1" applyAlignment="1">
      <alignment horizontal="center"/>
    </xf>
    <xf numFmtId="0" fontId="0" fillId="0" borderId="0" xfId="0" applyAlignment="1">
      <alignment horizontal="center" vertical="center"/>
    </xf>
    <xf numFmtId="183" fontId="18" fillId="0" borderId="0" xfId="0" applyNumberFormat="1" applyFont="1" applyAlignment="1">
      <alignment horizontal="left"/>
    </xf>
    <xf numFmtId="164" fontId="7" fillId="7" borderId="6" xfId="0" applyNumberFormat="1" applyFont="1" applyFill="1" applyBorder="1" applyAlignment="1" applyProtection="1">
      <alignment horizontal="center"/>
      <protection locked="0"/>
    </xf>
    <xf numFmtId="164" fontId="0" fillId="8" borderId="6" xfId="0" applyNumberFormat="1" applyFill="1" applyBorder="1" applyAlignment="1" applyProtection="1">
      <alignment horizontal="center"/>
      <protection locked="0"/>
    </xf>
    <xf numFmtId="0" fontId="0" fillId="6" borderId="0" xfId="0" applyFill="1" applyAlignment="1">
      <alignment horizontal="center"/>
    </xf>
    <xf numFmtId="0" fontId="14" fillId="4" borderId="6" xfId="0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181" fontId="0" fillId="0" borderId="0" xfId="0" applyNumberFormat="1" applyAlignment="1">
      <alignment horizontal="left"/>
    </xf>
    <xf numFmtId="0" fontId="0" fillId="4" borderId="10" xfId="0" applyFill="1" applyBorder="1" applyAlignment="1" applyProtection="1">
      <alignment horizontal="center" vertical="center"/>
    </xf>
    <xf numFmtId="0" fontId="0" fillId="6" borderId="3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7" fillId="6" borderId="6" xfId="0" applyFont="1" applyFill="1" applyBorder="1" applyAlignment="1">
      <alignment horizontal="center"/>
    </xf>
    <xf numFmtId="165" fontId="4" fillId="0" borderId="14" xfId="0" applyNumberFormat="1" applyFont="1" applyBorder="1" applyAlignment="1">
      <alignment horizontal="left"/>
    </xf>
    <xf numFmtId="240" fontId="0" fillId="0" borderId="0" xfId="0" applyNumberFormat="1" applyAlignment="1">
      <alignment horizontal="center"/>
    </xf>
    <xf numFmtId="200" fontId="0" fillId="12" borderId="0" xfId="0" applyNumberFormat="1" applyFill="1" applyAlignment="1">
      <alignment horizontal="right"/>
    </xf>
    <xf numFmtId="200" fontId="0" fillId="11" borderId="0" xfId="0" applyNumberFormat="1" applyFill="1" applyAlignment="1">
      <alignment horizontal="right"/>
    </xf>
    <xf numFmtId="0" fontId="27" fillId="0" borderId="19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195" fontId="0" fillId="0" borderId="0" xfId="0" applyNumberFormat="1" applyAlignment="1">
      <alignment horizontal="center"/>
    </xf>
    <xf numFmtId="230" fontId="0" fillId="0" borderId="0" xfId="0" applyNumberFormat="1" applyAlignment="1">
      <alignment horizontal="center"/>
    </xf>
    <xf numFmtId="202" fontId="0" fillId="7" borderId="6" xfId="0" applyNumberFormat="1" applyFill="1" applyBorder="1" applyAlignment="1" applyProtection="1">
      <alignment horizontal="center"/>
      <protection locked="0"/>
    </xf>
    <xf numFmtId="205" fontId="0" fillId="12" borderId="0" xfId="0" applyNumberFormat="1" applyFill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11" fillId="13" borderId="0" xfId="0" applyFont="1" applyFill="1" applyAlignment="1">
      <alignment horizontal="center" vertical="center"/>
    </xf>
    <xf numFmtId="0" fontId="29" fillId="0" borderId="14" xfId="0" applyFont="1" applyBorder="1" applyAlignment="1" applyProtection="1">
      <alignment horizontal="center"/>
      <protection hidden="1"/>
    </xf>
    <xf numFmtId="0" fontId="8" fillId="0" borderId="0" xfId="0" applyFont="1" applyAlignment="1">
      <alignment horizontal="center"/>
    </xf>
    <xf numFmtId="260" fontId="0" fillId="0" borderId="0" xfId="0" applyNumberFormat="1" applyAlignment="1">
      <alignment horizontal="left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wrapText="1"/>
      <protection hidden="1"/>
    </xf>
    <xf numFmtId="0" fontId="0" fillId="0" borderId="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0" fillId="6" borderId="0" xfId="0" applyFill="1" applyAlignment="1">
      <alignment horizontal="center" vertical="center"/>
    </xf>
    <xf numFmtId="0" fontId="0" fillId="5" borderId="0" xfId="0" applyFill="1" applyAlignment="1" applyProtection="1">
      <alignment horizontal="center"/>
      <protection locked="0"/>
    </xf>
    <xf numFmtId="0" fontId="29" fillId="0" borderId="15" xfId="0" applyFont="1" applyBorder="1" applyAlignment="1" applyProtection="1">
      <alignment horizontal="center"/>
      <protection hidden="1"/>
    </xf>
    <xf numFmtId="0" fontId="0" fillId="13" borderId="3" xfId="0" applyFill="1" applyBorder="1" applyAlignment="1">
      <alignment horizontal="center"/>
    </xf>
    <xf numFmtId="0" fontId="0" fillId="13" borderId="13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95250</xdr:colOff>
      <xdr:row>17</xdr:row>
      <xdr:rowOff>76639</xdr:rowOff>
    </xdr:from>
    <xdr:to>
      <xdr:col>12</xdr:col>
      <xdr:colOff>183912</xdr:colOff>
      <xdr:row>19</xdr:row>
      <xdr:rowOff>229914</xdr:rowOff>
    </xdr:to>
    <xdr:sp macro="" textlink="">
      <xdr:nvSpPr>
        <xdr:cNvPr id="2" name="1 Cerrar llave"/>
        <xdr:cNvSpPr/>
      </xdr:nvSpPr>
      <xdr:spPr>
        <a:xfrm>
          <a:off x="9652000" y="3378639"/>
          <a:ext cx="88662" cy="661275"/>
        </a:xfrm>
        <a:prstGeom prst="rightBrace">
          <a:avLst/>
        </a:prstGeom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12</xdr:col>
      <xdr:colOff>95250</xdr:colOff>
      <xdr:row>20</xdr:row>
      <xdr:rowOff>64448</xdr:rowOff>
    </xdr:from>
    <xdr:to>
      <xdr:col>12</xdr:col>
      <xdr:colOff>225005</xdr:colOff>
      <xdr:row>23</xdr:row>
      <xdr:rowOff>229548</xdr:rowOff>
    </xdr:to>
    <xdr:sp macro="" textlink="">
      <xdr:nvSpPr>
        <xdr:cNvPr id="3" name="2 Cerrar llave"/>
        <xdr:cNvSpPr/>
      </xdr:nvSpPr>
      <xdr:spPr>
        <a:xfrm>
          <a:off x="9652000" y="4117865"/>
          <a:ext cx="129755" cy="958850"/>
        </a:xfrm>
        <a:prstGeom prst="rightBrace">
          <a:avLst/>
        </a:prstGeom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12</xdr:col>
      <xdr:colOff>105833</xdr:colOff>
      <xdr:row>24</xdr:row>
      <xdr:rowOff>75763</xdr:rowOff>
    </xdr:from>
    <xdr:to>
      <xdr:col>12</xdr:col>
      <xdr:colOff>235222</xdr:colOff>
      <xdr:row>26</xdr:row>
      <xdr:rowOff>207141</xdr:rowOff>
    </xdr:to>
    <xdr:sp macro="" textlink="">
      <xdr:nvSpPr>
        <xdr:cNvPr id="4" name="3 Cerrar llave"/>
        <xdr:cNvSpPr/>
      </xdr:nvSpPr>
      <xdr:spPr>
        <a:xfrm>
          <a:off x="9662583" y="5187513"/>
          <a:ext cx="129389" cy="671128"/>
        </a:xfrm>
        <a:prstGeom prst="rightBrace">
          <a:avLst/>
        </a:prstGeom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21897</xdr:colOff>
      <xdr:row>32</xdr:row>
      <xdr:rowOff>76637</xdr:rowOff>
    </xdr:from>
    <xdr:to>
      <xdr:col>13</xdr:col>
      <xdr:colOff>148167</xdr:colOff>
      <xdr:row>35</xdr:row>
      <xdr:rowOff>21897</xdr:rowOff>
    </xdr:to>
    <xdr:sp macro="" textlink="">
      <xdr:nvSpPr>
        <xdr:cNvPr id="5" name="4 Cerrar llave"/>
        <xdr:cNvSpPr/>
      </xdr:nvSpPr>
      <xdr:spPr>
        <a:xfrm>
          <a:off x="10552314" y="6987554"/>
          <a:ext cx="126270" cy="717843"/>
        </a:xfrm>
        <a:prstGeom prst="rightBrace">
          <a:avLst/>
        </a:prstGeom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42917</xdr:colOff>
      <xdr:row>38</xdr:row>
      <xdr:rowOff>239986</xdr:rowOff>
    </xdr:from>
    <xdr:to>
      <xdr:col>13</xdr:col>
      <xdr:colOff>158750</xdr:colOff>
      <xdr:row>41</xdr:row>
      <xdr:rowOff>207142</xdr:rowOff>
    </xdr:to>
    <xdr:sp macro="" textlink="">
      <xdr:nvSpPr>
        <xdr:cNvPr id="6" name="5 Cerrar llave"/>
        <xdr:cNvSpPr/>
      </xdr:nvSpPr>
      <xdr:spPr>
        <a:xfrm>
          <a:off x="10573334" y="8706653"/>
          <a:ext cx="115833" cy="707989"/>
        </a:xfrm>
        <a:prstGeom prst="rightBrace">
          <a:avLst/>
        </a:prstGeom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64960</xdr:colOff>
      <xdr:row>35</xdr:row>
      <xdr:rowOff>74155</xdr:rowOff>
    </xdr:from>
    <xdr:to>
      <xdr:col>13</xdr:col>
      <xdr:colOff>116417</xdr:colOff>
      <xdr:row>38</xdr:row>
      <xdr:rowOff>185390</xdr:rowOff>
    </xdr:to>
    <xdr:sp macro="" textlink="">
      <xdr:nvSpPr>
        <xdr:cNvPr id="7" name="6 Cerrar llave"/>
        <xdr:cNvSpPr/>
      </xdr:nvSpPr>
      <xdr:spPr>
        <a:xfrm>
          <a:off x="10595377" y="7757655"/>
          <a:ext cx="51457" cy="894402"/>
        </a:xfrm>
        <a:prstGeom prst="rightBrace">
          <a:avLst/>
        </a:prstGeom>
      </xdr:spPr>
      <xdr:style>
        <a:lnRef idx="3">
          <a:schemeClr val="accent3"/>
        </a:lnRef>
        <a:fillRef idx="0">
          <a:schemeClr val="accent3"/>
        </a:fillRef>
        <a:effectRef idx="2">
          <a:schemeClr val="accent3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9525</xdr:colOff>
      <xdr:row>58</xdr:row>
      <xdr:rowOff>9525</xdr:rowOff>
    </xdr:from>
    <xdr:to>
      <xdr:col>5</xdr:col>
      <xdr:colOff>0</xdr:colOff>
      <xdr:row>58</xdr:row>
      <xdr:rowOff>9526</xdr:rowOff>
    </xdr:to>
    <xdr:cxnSp macro="">
      <xdr:nvCxnSpPr>
        <xdr:cNvPr id="17" name="16 Conector recto"/>
        <xdr:cNvCxnSpPr/>
      </xdr:nvCxnSpPr>
      <xdr:spPr>
        <a:xfrm>
          <a:off x="771525" y="13335000"/>
          <a:ext cx="3390900" cy="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441763</xdr:colOff>
      <xdr:row>57</xdr:row>
      <xdr:rowOff>142328</xdr:rowOff>
    </xdr:from>
    <xdr:to>
      <xdr:col>1</xdr:col>
      <xdr:colOff>25948</xdr:colOff>
      <xdr:row>58</xdr:row>
      <xdr:rowOff>54741</xdr:rowOff>
    </xdr:to>
    <xdr:cxnSp macro="">
      <xdr:nvCxnSpPr>
        <xdr:cNvPr id="19" name="18 Conector recto"/>
        <xdr:cNvCxnSpPr/>
      </xdr:nvCxnSpPr>
      <xdr:spPr>
        <a:xfrm flipH="1">
          <a:off x="441763" y="13277303"/>
          <a:ext cx="50910" cy="1029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709229</xdr:colOff>
      <xdr:row>57</xdr:row>
      <xdr:rowOff>151415</xdr:rowOff>
    </xdr:from>
    <xdr:to>
      <xdr:col>2</xdr:col>
      <xdr:colOff>45764</xdr:colOff>
      <xdr:row>58</xdr:row>
      <xdr:rowOff>63828</xdr:rowOff>
    </xdr:to>
    <xdr:cxnSp macro="">
      <xdr:nvCxnSpPr>
        <xdr:cNvPr id="20" name="19 Conector recto"/>
        <xdr:cNvCxnSpPr/>
      </xdr:nvCxnSpPr>
      <xdr:spPr>
        <a:xfrm flipH="1">
          <a:off x="1471229" y="13286390"/>
          <a:ext cx="98535" cy="1029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718754</xdr:colOff>
      <xdr:row>57</xdr:row>
      <xdr:rowOff>141890</xdr:rowOff>
    </xdr:from>
    <xdr:to>
      <xdr:col>5</xdr:col>
      <xdr:colOff>55289</xdr:colOff>
      <xdr:row>58</xdr:row>
      <xdr:rowOff>54303</xdr:rowOff>
    </xdr:to>
    <xdr:cxnSp macro="">
      <xdr:nvCxnSpPr>
        <xdr:cNvPr id="23" name="22 Conector recto"/>
        <xdr:cNvCxnSpPr/>
      </xdr:nvCxnSpPr>
      <xdr:spPr>
        <a:xfrm flipH="1">
          <a:off x="4119179" y="13276865"/>
          <a:ext cx="98535" cy="1029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381000</xdr:colOff>
      <xdr:row>56</xdr:row>
      <xdr:rowOff>314325</xdr:rowOff>
    </xdr:from>
    <xdr:to>
      <xdr:col>1</xdr:col>
      <xdr:colOff>133350</xdr:colOff>
      <xdr:row>57</xdr:row>
      <xdr:rowOff>47625</xdr:rowOff>
    </xdr:to>
    <xdr:sp macro="" textlink="">
      <xdr:nvSpPr>
        <xdr:cNvPr id="26" name="25 Rectángulo"/>
        <xdr:cNvSpPr/>
      </xdr:nvSpPr>
      <xdr:spPr>
        <a:xfrm>
          <a:off x="381000" y="13125450"/>
          <a:ext cx="219075" cy="5715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1121832</xdr:colOff>
      <xdr:row>56</xdr:row>
      <xdr:rowOff>314325</xdr:rowOff>
    </xdr:from>
    <xdr:to>
      <xdr:col>2</xdr:col>
      <xdr:colOff>114299</xdr:colOff>
      <xdr:row>57</xdr:row>
      <xdr:rowOff>63500</xdr:rowOff>
    </xdr:to>
    <xdr:sp macro="" textlink="">
      <xdr:nvSpPr>
        <xdr:cNvPr id="27" name="26 Rectángulo"/>
        <xdr:cNvSpPr/>
      </xdr:nvSpPr>
      <xdr:spPr>
        <a:xfrm>
          <a:off x="1587499" y="13130742"/>
          <a:ext cx="220133" cy="77258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416035</xdr:colOff>
      <xdr:row>57</xdr:row>
      <xdr:rowOff>175173</xdr:rowOff>
    </xdr:from>
    <xdr:to>
      <xdr:col>16</xdr:col>
      <xdr:colOff>0</xdr:colOff>
      <xdr:row>59</xdr:row>
      <xdr:rowOff>21898</xdr:rowOff>
    </xdr:to>
    <xdr:sp macro="" textlink="">
      <xdr:nvSpPr>
        <xdr:cNvPr id="67" name="66 Rectángulo"/>
        <xdr:cNvSpPr/>
      </xdr:nvSpPr>
      <xdr:spPr>
        <a:xfrm>
          <a:off x="4578460" y="13881648"/>
          <a:ext cx="6080015" cy="22772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229367</xdr:colOff>
      <xdr:row>57</xdr:row>
      <xdr:rowOff>28575</xdr:rowOff>
    </xdr:from>
    <xdr:to>
      <xdr:col>7</xdr:col>
      <xdr:colOff>426436</xdr:colOff>
      <xdr:row>60</xdr:row>
      <xdr:rowOff>138058</xdr:rowOff>
    </xdr:to>
    <xdr:sp macro="" textlink="">
      <xdr:nvSpPr>
        <xdr:cNvPr id="68" name="67 Documento"/>
        <xdr:cNvSpPr/>
      </xdr:nvSpPr>
      <xdr:spPr>
        <a:xfrm>
          <a:off x="4391792" y="13735050"/>
          <a:ext cx="197069" cy="680983"/>
        </a:xfrm>
        <a:prstGeom prst="flowChartDocumen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9</xdr:col>
      <xdr:colOff>986</xdr:colOff>
      <xdr:row>57</xdr:row>
      <xdr:rowOff>11496</xdr:rowOff>
    </xdr:from>
    <xdr:to>
      <xdr:col>9</xdr:col>
      <xdr:colOff>209549</xdr:colOff>
      <xdr:row>60</xdr:row>
      <xdr:rowOff>120979</xdr:rowOff>
    </xdr:to>
    <xdr:sp macro="" textlink="">
      <xdr:nvSpPr>
        <xdr:cNvPr id="69" name="68 Documento"/>
        <xdr:cNvSpPr/>
      </xdr:nvSpPr>
      <xdr:spPr>
        <a:xfrm>
          <a:off x="7192361" y="13146471"/>
          <a:ext cx="208563" cy="719083"/>
        </a:xfrm>
        <a:prstGeom prst="flowChartDocumen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407715</xdr:colOff>
      <xdr:row>57</xdr:row>
      <xdr:rowOff>22445</xdr:rowOff>
    </xdr:from>
    <xdr:to>
      <xdr:col>12</xdr:col>
      <xdr:colOff>209549</xdr:colOff>
      <xdr:row>60</xdr:row>
      <xdr:rowOff>136307</xdr:rowOff>
    </xdr:to>
    <xdr:sp macro="" textlink="">
      <xdr:nvSpPr>
        <xdr:cNvPr id="70" name="69 Documento"/>
        <xdr:cNvSpPr/>
      </xdr:nvSpPr>
      <xdr:spPr>
        <a:xfrm>
          <a:off x="8523015" y="13157420"/>
          <a:ext cx="211409" cy="723462"/>
        </a:xfrm>
        <a:prstGeom prst="flowChartDocumen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14</xdr:col>
      <xdr:colOff>8321</xdr:colOff>
      <xdr:row>57</xdr:row>
      <xdr:rowOff>8322</xdr:rowOff>
    </xdr:from>
    <xdr:to>
      <xdr:col>14</xdr:col>
      <xdr:colOff>195317</xdr:colOff>
      <xdr:row>60</xdr:row>
      <xdr:rowOff>117805</xdr:rowOff>
    </xdr:to>
    <xdr:sp macro="" textlink="">
      <xdr:nvSpPr>
        <xdr:cNvPr id="71" name="70 Documento"/>
        <xdr:cNvSpPr/>
      </xdr:nvSpPr>
      <xdr:spPr>
        <a:xfrm>
          <a:off x="9142796" y="13714797"/>
          <a:ext cx="186996" cy="680983"/>
        </a:xfrm>
        <a:prstGeom prst="flowChartDocumen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740980</xdr:colOff>
      <xdr:row>57</xdr:row>
      <xdr:rowOff>7446</xdr:rowOff>
    </xdr:from>
    <xdr:to>
      <xdr:col>16</xdr:col>
      <xdr:colOff>161596</xdr:colOff>
      <xdr:row>60</xdr:row>
      <xdr:rowOff>116929</xdr:rowOff>
    </xdr:to>
    <xdr:sp macro="" textlink="">
      <xdr:nvSpPr>
        <xdr:cNvPr id="72" name="71 Documento"/>
        <xdr:cNvSpPr/>
      </xdr:nvSpPr>
      <xdr:spPr>
        <a:xfrm>
          <a:off x="10637455" y="13713921"/>
          <a:ext cx="182616" cy="680983"/>
        </a:xfrm>
        <a:prstGeom prst="flowChartDocumen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314325</xdr:colOff>
      <xdr:row>61</xdr:row>
      <xdr:rowOff>19050</xdr:rowOff>
    </xdr:from>
    <xdr:to>
      <xdr:col>16</xdr:col>
      <xdr:colOff>54741</xdr:colOff>
      <xdr:row>61</xdr:row>
      <xdr:rowOff>21896</xdr:rowOff>
    </xdr:to>
    <xdr:cxnSp macro="">
      <xdr:nvCxnSpPr>
        <xdr:cNvPr id="73" name="72 Conector recto"/>
        <xdr:cNvCxnSpPr/>
      </xdr:nvCxnSpPr>
      <xdr:spPr>
        <a:xfrm>
          <a:off x="4476750" y="14487525"/>
          <a:ext cx="6236466" cy="284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279838</xdr:colOff>
      <xdr:row>60</xdr:row>
      <xdr:rowOff>151853</xdr:rowOff>
    </xdr:from>
    <xdr:to>
      <xdr:col>7</xdr:col>
      <xdr:colOff>378373</xdr:colOff>
      <xdr:row>61</xdr:row>
      <xdr:rowOff>64266</xdr:rowOff>
    </xdr:to>
    <xdr:cxnSp macro="">
      <xdr:nvCxnSpPr>
        <xdr:cNvPr id="74" name="73 Conector recto"/>
        <xdr:cNvCxnSpPr/>
      </xdr:nvCxnSpPr>
      <xdr:spPr>
        <a:xfrm flipH="1">
          <a:off x="4442263" y="14429828"/>
          <a:ext cx="98535" cy="1029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4379</xdr:colOff>
      <xdr:row>60</xdr:row>
      <xdr:rowOff>151415</xdr:rowOff>
    </xdr:from>
    <xdr:to>
      <xdr:col>9</xdr:col>
      <xdr:colOff>102914</xdr:colOff>
      <xdr:row>61</xdr:row>
      <xdr:rowOff>63828</xdr:rowOff>
    </xdr:to>
    <xdr:cxnSp macro="">
      <xdr:nvCxnSpPr>
        <xdr:cNvPr id="75" name="74 Conector recto"/>
        <xdr:cNvCxnSpPr/>
      </xdr:nvCxnSpPr>
      <xdr:spPr>
        <a:xfrm flipH="1">
          <a:off x="6071804" y="14429390"/>
          <a:ext cx="98535" cy="1029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52004</xdr:colOff>
      <xdr:row>60</xdr:row>
      <xdr:rowOff>132365</xdr:rowOff>
    </xdr:from>
    <xdr:to>
      <xdr:col>12</xdr:col>
      <xdr:colOff>150539</xdr:colOff>
      <xdr:row>61</xdr:row>
      <xdr:rowOff>44778</xdr:rowOff>
    </xdr:to>
    <xdr:cxnSp macro="">
      <xdr:nvCxnSpPr>
        <xdr:cNvPr id="76" name="75 Conector recto"/>
        <xdr:cNvCxnSpPr/>
      </xdr:nvCxnSpPr>
      <xdr:spPr>
        <a:xfrm flipH="1">
          <a:off x="8576879" y="13876940"/>
          <a:ext cx="98535" cy="1029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61529</xdr:colOff>
      <xdr:row>60</xdr:row>
      <xdr:rowOff>141890</xdr:rowOff>
    </xdr:from>
    <xdr:to>
      <xdr:col>14</xdr:col>
      <xdr:colOff>160064</xdr:colOff>
      <xdr:row>61</xdr:row>
      <xdr:rowOff>54303</xdr:rowOff>
    </xdr:to>
    <xdr:cxnSp macro="">
      <xdr:nvCxnSpPr>
        <xdr:cNvPr id="77" name="76 Conector recto"/>
        <xdr:cNvCxnSpPr/>
      </xdr:nvCxnSpPr>
      <xdr:spPr>
        <a:xfrm flipH="1">
          <a:off x="9196004" y="14419865"/>
          <a:ext cx="98535" cy="1029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4379</xdr:colOff>
      <xdr:row>60</xdr:row>
      <xdr:rowOff>160940</xdr:rowOff>
    </xdr:from>
    <xdr:to>
      <xdr:col>16</xdr:col>
      <xdr:colOff>102914</xdr:colOff>
      <xdr:row>61</xdr:row>
      <xdr:rowOff>73353</xdr:rowOff>
    </xdr:to>
    <xdr:cxnSp macro="">
      <xdr:nvCxnSpPr>
        <xdr:cNvPr id="78" name="77 Conector recto"/>
        <xdr:cNvCxnSpPr/>
      </xdr:nvCxnSpPr>
      <xdr:spPr>
        <a:xfrm flipH="1">
          <a:off x="10662854" y="14438915"/>
          <a:ext cx="98535" cy="1029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704850</xdr:colOff>
      <xdr:row>57</xdr:row>
      <xdr:rowOff>0</xdr:rowOff>
    </xdr:from>
    <xdr:to>
      <xdr:col>3</xdr:col>
      <xdr:colOff>95250</xdr:colOff>
      <xdr:row>57</xdr:row>
      <xdr:rowOff>57150</xdr:rowOff>
    </xdr:to>
    <xdr:sp macro="" textlink="">
      <xdr:nvSpPr>
        <xdr:cNvPr id="82" name="81 Rectángulo"/>
        <xdr:cNvSpPr/>
      </xdr:nvSpPr>
      <xdr:spPr>
        <a:xfrm>
          <a:off x="1933575" y="13134975"/>
          <a:ext cx="219075" cy="5715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790575</xdr:colOff>
      <xdr:row>57</xdr:row>
      <xdr:rowOff>0</xdr:rowOff>
    </xdr:from>
    <xdr:to>
      <xdr:col>4</xdr:col>
      <xdr:colOff>114300</xdr:colOff>
      <xdr:row>57</xdr:row>
      <xdr:rowOff>76200</xdr:rowOff>
    </xdr:to>
    <xdr:sp macro="" textlink="">
      <xdr:nvSpPr>
        <xdr:cNvPr id="83" name="82 Rectángulo"/>
        <xdr:cNvSpPr/>
      </xdr:nvSpPr>
      <xdr:spPr>
        <a:xfrm>
          <a:off x="2847975" y="13134975"/>
          <a:ext cx="209550" cy="7620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676275</xdr:colOff>
      <xdr:row>57</xdr:row>
      <xdr:rowOff>19050</xdr:rowOff>
    </xdr:from>
    <xdr:to>
      <xdr:col>5</xdr:col>
      <xdr:colOff>114299</xdr:colOff>
      <xdr:row>57</xdr:row>
      <xdr:rowOff>85726</xdr:rowOff>
    </xdr:to>
    <xdr:sp macro="" textlink="">
      <xdr:nvSpPr>
        <xdr:cNvPr id="84" name="83 Rectángulo"/>
        <xdr:cNvSpPr/>
      </xdr:nvSpPr>
      <xdr:spPr>
        <a:xfrm>
          <a:off x="4076700" y="13154025"/>
          <a:ext cx="257174" cy="66676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747329</xdr:colOff>
      <xdr:row>57</xdr:row>
      <xdr:rowOff>133350</xdr:rowOff>
    </xdr:from>
    <xdr:to>
      <xdr:col>3</xdr:col>
      <xdr:colOff>57150</xdr:colOff>
      <xdr:row>58</xdr:row>
      <xdr:rowOff>25728</xdr:rowOff>
    </xdr:to>
    <xdr:cxnSp macro="">
      <xdr:nvCxnSpPr>
        <xdr:cNvPr id="85" name="84 Conector recto"/>
        <xdr:cNvCxnSpPr/>
      </xdr:nvCxnSpPr>
      <xdr:spPr>
        <a:xfrm flipH="1">
          <a:off x="1976054" y="13268325"/>
          <a:ext cx="138496" cy="82878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1090229</xdr:colOff>
      <xdr:row>57</xdr:row>
      <xdr:rowOff>141890</xdr:rowOff>
    </xdr:from>
    <xdr:to>
      <xdr:col>4</xdr:col>
      <xdr:colOff>74339</xdr:colOff>
      <xdr:row>58</xdr:row>
      <xdr:rowOff>54303</xdr:rowOff>
    </xdr:to>
    <xdr:cxnSp macro="">
      <xdr:nvCxnSpPr>
        <xdr:cNvPr id="86" name="85 Conector recto"/>
        <xdr:cNvCxnSpPr/>
      </xdr:nvCxnSpPr>
      <xdr:spPr>
        <a:xfrm flipH="1">
          <a:off x="3376229" y="13276865"/>
          <a:ext cx="98535" cy="10291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680063</xdr:colOff>
      <xdr:row>56</xdr:row>
      <xdr:rowOff>57867</xdr:rowOff>
    </xdr:from>
    <xdr:to>
      <xdr:col>9</xdr:col>
      <xdr:colOff>307257</xdr:colOff>
      <xdr:row>56</xdr:row>
      <xdr:rowOff>276532</xdr:rowOff>
    </xdr:to>
    <xdr:sp macro="" textlink="">
      <xdr:nvSpPr>
        <xdr:cNvPr id="88" name="87 CuadroTexto"/>
        <xdr:cNvSpPr txBox="1"/>
      </xdr:nvSpPr>
      <xdr:spPr>
        <a:xfrm>
          <a:off x="7101757" y="12942222"/>
          <a:ext cx="385097" cy="2186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PE" sz="1100"/>
            <a:t>C-1</a:t>
          </a:r>
        </a:p>
      </xdr:txBody>
    </xdr:sp>
    <xdr:clientData/>
  </xdr:twoCellAnchor>
  <xdr:twoCellAnchor>
    <xdr:from>
      <xdr:col>11</xdr:col>
      <xdr:colOff>266699</xdr:colOff>
      <xdr:row>56</xdr:row>
      <xdr:rowOff>66675</xdr:rowOff>
    </xdr:from>
    <xdr:to>
      <xdr:col>12</xdr:col>
      <xdr:colOff>285749</xdr:colOff>
      <xdr:row>56</xdr:row>
      <xdr:rowOff>304800</xdr:rowOff>
    </xdr:to>
    <xdr:sp macro="" textlink="">
      <xdr:nvSpPr>
        <xdr:cNvPr id="89" name="88 CuadroTexto"/>
        <xdr:cNvSpPr txBox="1"/>
      </xdr:nvSpPr>
      <xdr:spPr>
        <a:xfrm>
          <a:off x="8381999" y="12877800"/>
          <a:ext cx="42862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PE" sz="1100"/>
            <a:t>C-1</a:t>
          </a:r>
        </a:p>
      </xdr:txBody>
    </xdr:sp>
    <xdr:clientData/>
  </xdr:twoCellAnchor>
  <xdr:twoCellAnchor>
    <xdr:from>
      <xdr:col>13</xdr:col>
      <xdr:colOff>669821</xdr:colOff>
      <xdr:row>56</xdr:row>
      <xdr:rowOff>57151</xdr:rowOff>
    </xdr:from>
    <xdr:to>
      <xdr:col>14</xdr:col>
      <xdr:colOff>337983</xdr:colOff>
      <xdr:row>56</xdr:row>
      <xdr:rowOff>245806</xdr:rowOff>
    </xdr:to>
    <xdr:sp macro="" textlink="">
      <xdr:nvSpPr>
        <xdr:cNvPr id="90" name="89 CuadroTexto"/>
        <xdr:cNvSpPr txBox="1"/>
      </xdr:nvSpPr>
      <xdr:spPr>
        <a:xfrm>
          <a:off x="10153853" y="12941506"/>
          <a:ext cx="426065" cy="1886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PE" sz="1100"/>
            <a:t>C-1</a:t>
          </a:r>
        </a:p>
      </xdr:txBody>
    </xdr:sp>
    <xdr:clientData/>
  </xdr:twoCellAnchor>
  <xdr:twoCellAnchor>
    <xdr:from>
      <xdr:col>15</xdr:col>
      <xdr:colOff>619123</xdr:colOff>
      <xdr:row>56</xdr:row>
      <xdr:rowOff>38101</xdr:rowOff>
    </xdr:from>
    <xdr:to>
      <xdr:col>16</xdr:col>
      <xdr:colOff>266289</xdr:colOff>
      <xdr:row>56</xdr:row>
      <xdr:rowOff>225323</xdr:rowOff>
    </xdr:to>
    <xdr:sp macro="" textlink="">
      <xdr:nvSpPr>
        <xdr:cNvPr id="91" name="90 CuadroTexto"/>
        <xdr:cNvSpPr txBox="1"/>
      </xdr:nvSpPr>
      <xdr:spPr>
        <a:xfrm>
          <a:off x="11618962" y="12922456"/>
          <a:ext cx="405069" cy="18722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PE" sz="1100"/>
            <a:t>C-2</a:t>
          </a:r>
        </a:p>
      </xdr:txBody>
    </xdr:sp>
    <xdr:clientData/>
  </xdr:twoCellAnchor>
  <xdr:twoCellAnchor>
    <xdr:from>
      <xdr:col>7</xdr:col>
      <xdr:colOff>161924</xdr:colOff>
      <xdr:row>56</xdr:row>
      <xdr:rowOff>57150</xdr:rowOff>
    </xdr:from>
    <xdr:to>
      <xdr:col>7</xdr:col>
      <xdr:colOff>533399</xdr:colOff>
      <xdr:row>56</xdr:row>
      <xdr:rowOff>295275</xdr:rowOff>
    </xdr:to>
    <xdr:sp macro="" textlink="">
      <xdr:nvSpPr>
        <xdr:cNvPr id="92" name="91 CuadroTexto"/>
        <xdr:cNvSpPr txBox="1"/>
      </xdr:nvSpPr>
      <xdr:spPr>
        <a:xfrm>
          <a:off x="4686299" y="12868275"/>
          <a:ext cx="3714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PE" sz="1100"/>
            <a:t>C-2</a:t>
          </a:r>
        </a:p>
      </xdr:txBody>
    </xdr:sp>
    <xdr:clientData/>
  </xdr:twoCellAnchor>
  <xdr:twoCellAnchor>
    <xdr:from>
      <xdr:col>2</xdr:col>
      <xdr:colOff>9525</xdr:colOff>
      <xdr:row>83</xdr:row>
      <xdr:rowOff>0</xdr:rowOff>
    </xdr:from>
    <xdr:to>
      <xdr:col>5</xdr:col>
      <xdr:colOff>0</xdr:colOff>
      <xdr:row>83</xdr:row>
      <xdr:rowOff>9525</xdr:rowOff>
    </xdr:to>
    <xdr:cxnSp macro="">
      <xdr:nvCxnSpPr>
        <xdr:cNvPr id="93" name="92 Conector recto"/>
        <xdr:cNvCxnSpPr/>
      </xdr:nvCxnSpPr>
      <xdr:spPr>
        <a:xfrm flipV="1">
          <a:off x="1238557" y="19060242"/>
          <a:ext cx="2520233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1206500</xdr:colOff>
      <xdr:row>82</xdr:row>
      <xdr:rowOff>142328</xdr:rowOff>
    </xdr:from>
    <xdr:to>
      <xdr:col>2</xdr:col>
      <xdr:colOff>97642</xdr:colOff>
      <xdr:row>83</xdr:row>
      <xdr:rowOff>63500</xdr:rowOff>
    </xdr:to>
    <xdr:cxnSp macro="">
      <xdr:nvCxnSpPr>
        <xdr:cNvPr id="94" name="93 Conector recto"/>
        <xdr:cNvCxnSpPr/>
      </xdr:nvCxnSpPr>
      <xdr:spPr>
        <a:xfrm flipH="1">
          <a:off x="1672167" y="18864245"/>
          <a:ext cx="118808" cy="11167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709229</xdr:colOff>
      <xdr:row>82</xdr:row>
      <xdr:rowOff>151415</xdr:rowOff>
    </xdr:from>
    <xdr:to>
      <xdr:col>3</xdr:col>
      <xdr:colOff>45764</xdr:colOff>
      <xdr:row>83</xdr:row>
      <xdr:rowOff>63828</xdr:rowOff>
    </xdr:to>
    <xdr:cxnSp macro="">
      <xdr:nvCxnSpPr>
        <xdr:cNvPr id="95" name="94 Conector recto"/>
        <xdr:cNvCxnSpPr/>
      </xdr:nvCxnSpPr>
      <xdr:spPr>
        <a:xfrm flipH="1">
          <a:off x="1180358" y="13404480"/>
          <a:ext cx="94438" cy="10700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1121832</xdr:colOff>
      <xdr:row>82</xdr:row>
      <xdr:rowOff>1906</xdr:rowOff>
    </xdr:from>
    <xdr:to>
      <xdr:col>2</xdr:col>
      <xdr:colOff>133349</xdr:colOff>
      <xdr:row>82</xdr:row>
      <xdr:rowOff>52916</xdr:rowOff>
    </xdr:to>
    <xdr:sp macro="" textlink="">
      <xdr:nvSpPr>
        <xdr:cNvPr id="96" name="95 Rectángulo"/>
        <xdr:cNvSpPr/>
      </xdr:nvSpPr>
      <xdr:spPr>
        <a:xfrm>
          <a:off x="1587499" y="18723823"/>
          <a:ext cx="239183" cy="5101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725364</xdr:colOff>
      <xdr:row>82</xdr:row>
      <xdr:rowOff>2931</xdr:rowOff>
    </xdr:from>
    <xdr:to>
      <xdr:col>3</xdr:col>
      <xdr:colOff>114299</xdr:colOff>
      <xdr:row>82</xdr:row>
      <xdr:rowOff>51289</xdr:rowOff>
    </xdr:to>
    <xdr:sp macro="" textlink="">
      <xdr:nvSpPr>
        <xdr:cNvPr id="97" name="96 Rectángulo"/>
        <xdr:cNvSpPr/>
      </xdr:nvSpPr>
      <xdr:spPr>
        <a:xfrm>
          <a:off x="1956287" y="18759854"/>
          <a:ext cx="216877" cy="48358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805962</xdr:colOff>
      <xdr:row>81</xdr:row>
      <xdr:rowOff>263768</xdr:rowOff>
    </xdr:from>
    <xdr:to>
      <xdr:col>4</xdr:col>
      <xdr:colOff>95250</xdr:colOff>
      <xdr:row>82</xdr:row>
      <xdr:rowOff>58614</xdr:rowOff>
    </xdr:to>
    <xdr:sp macro="" textlink="">
      <xdr:nvSpPr>
        <xdr:cNvPr id="98" name="97 Rectángulo"/>
        <xdr:cNvSpPr/>
      </xdr:nvSpPr>
      <xdr:spPr>
        <a:xfrm>
          <a:off x="2864827" y="18756922"/>
          <a:ext cx="175846" cy="58615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718039</xdr:colOff>
      <xdr:row>82</xdr:row>
      <xdr:rowOff>0</xdr:rowOff>
    </xdr:from>
    <xdr:to>
      <xdr:col>5</xdr:col>
      <xdr:colOff>114300</xdr:colOff>
      <xdr:row>82</xdr:row>
      <xdr:rowOff>51289</xdr:rowOff>
    </xdr:to>
    <xdr:sp macro="" textlink="">
      <xdr:nvSpPr>
        <xdr:cNvPr id="99" name="98 Rectángulo"/>
        <xdr:cNvSpPr/>
      </xdr:nvSpPr>
      <xdr:spPr>
        <a:xfrm>
          <a:off x="3663462" y="18756923"/>
          <a:ext cx="216876" cy="51289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726845</xdr:colOff>
      <xdr:row>82</xdr:row>
      <xdr:rowOff>133350</xdr:rowOff>
    </xdr:from>
    <xdr:to>
      <xdr:col>5</xdr:col>
      <xdr:colOff>98117</xdr:colOff>
      <xdr:row>83</xdr:row>
      <xdr:rowOff>25728</xdr:rowOff>
    </xdr:to>
    <xdr:cxnSp macro="">
      <xdr:nvCxnSpPr>
        <xdr:cNvPr id="100" name="99 Conector recto"/>
        <xdr:cNvCxnSpPr/>
      </xdr:nvCxnSpPr>
      <xdr:spPr>
        <a:xfrm flipH="1">
          <a:off x="3666280" y="18998995"/>
          <a:ext cx="190627" cy="869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797309</xdr:colOff>
      <xdr:row>82</xdr:row>
      <xdr:rowOff>142363</xdr:rowOff>
    </xdr:from>
    <xdr:to>
      <xdr:col>4</xdr:col>
      <xdr:colOff>107130</xdr:colOff>
      <xdr:row>83</xdr:row>
      <xdr:rowOff>34741</xdr:rowOff>
    </xdr:to>
    <xdr:cxnSp macro="">
      <xdr:nvCxnSpPr>
        <xdr:cNvPr id="104" name="103 Conector recto"/>
        <xdr:cNvCxnSpPr/>
      </xdr:nvCxnSpPr>
      <xdr:spPr>
        <a:xfrm flipH="1">
          <a:off x="2855938" y="19008008"/>
          <a:ext cx="190627" cy="869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416035</xdr:colOff>
      <xdr:row>82</xdr:row>
      <xdr:rowOff>175173</xdr:rowOff>
    </xdr:from>
    <xdr:to>
      <xdr:col>14</xdr:col>
      <xdr:colOff>194597</xdr:colOff>
      <xdr:row>84</xdr:row>
      <xdr:rowOff>20484</xdr:rowOff>
    </xdr:to>
    <xdr:sp macro="" textlink="">
      <xdr:nvSpPr>
        <xdr:cNvPr id="105" name="104 Rectángulo"/>
        <xdr:cNvSpPr/>
      </xdr:nvSpPr>
      <xdr:spPr>
        <a:xfrm>
          <a:off x="5690632" y="19040818"/>
          <a:ext cx="4745900" cy="234505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229367</xdr:colOff>
      <xdr:row>82</xdr:row>
      <xdr:rowOff>28575</xdr:rowOff>
    </xdr:from>
    <xdr:to>
      <xdr:col>7</xdr:col>
      <xdr:colOff>426436</xdr:colOff>
      <xdr:row>85</xdr:row>
      <xdr:rowOff>138058</xdr:rowOff>
    </xdr:to>
    <xdr:sp macro="" textlink="">
      <xdr:nvSpPr>
        <xdr:cNvPr id="106" name="105 Documento"/>
        <xdr:cNvSpPr/>
      </xdr:nvSpPr>
      <xdr:spPr>
        <a:xfrm>
          <a:off x="5503964" y="13281640"/>
          <a:ext cx="197069" cy="723999"/>
        </a:xfrm>
        <a:prstGeom prst="flowChartDocumen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9</xdr:col>
      <xdr:colOff>986</xdr:colOff>
      <xdr:row>82</xdr:row>
      <xdr:rowOff>11496</xdr:rowOff>
    </xdr:from>
    <xdr:to>
      <xdr:col>9</xdr:col>
      <xdr:colOff>209549</xdr:colOff>
      <xdr:row>85</xdr:row>
      <xdr:rowOff>120979</xdr:rowOff>
    </xdr:to>
    <xdr:sp macro="" textlink="">
      <xdr:nvSpPr>
        <xdr:cNvPr id="107" name="106 Documento"/>
        <xdr:cNvSpPr/>
      </xdr:nvSpPr>
      <xdr:spPr>
        <a:xfrm>
          <a:off x="7180583" y="13264561"/>
          <a:ext cx="208563" cy="723999"/>
        </a:xfrm>
        <a:prstGeom prst="flowChartDocumen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12</xdr:col>
      <xdr:colOff>100457</xdr:colOff>
      <xdr:row>82</xdr:row>
      <xdr:rowOff>22445</xdr:rowOff>
    </xdr:from>
    <xdr:to>
      <xdr:col>12</xdr:col>
      <xdr:colOff>311968</xdr:colOff>
      <xdr:row>85</xdr:row>
      <xdr:rowOff>136307</xdr:rowOff>
    </xdr:to>
    <xdr:sp macro="" textlink="">
      <xdr:nvSpPr>
        <xdr:cNvPr id="108" name="107 Documento"/>
        <xdr:cNvSpPr/>
      </xdr:nvSpPr>
      <xdr:spPr>
        <a:xfrm>
          <a:off x="8611505" y="18888090"/>
          <a:ext cx="211511" cy="697652"/>
        </a:xfrm>
        <a:prstGeom prst="flowChartDocumen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14</xdr:col>
      <xdr:colOff>8321</xdr:colOff>
      <xdr:row>82</xdr:row>
      <xdr:rowOff>8322</xdr:rowOff>
    </xdr:from>
    <xdr:to>
      <xdr:col>14</xdr:col>
      <xdr:colOff>195317</xdr:colOff>
      <xdr:row>85</xdr:row>
      <xdr:rowOff>117805</xdr:rowOff>
    </xdr:to>
    <xdr:sp macro="" textlink="">
      <xdr:nvSpPr>
        <xdr:cNvPr id="109" name="108 Documento"/>
        <xdr:cNvSpPr/>
      </xdr:nvSpPr>
      <xdr:spPr>
        <a:xfrm>
          <a:off x="10250256" y="13261387"/>
          <a:ext cx="186996" cy="723999"/>
        </a:xfrm>
        <a:prstGeom prst="flowChartDocumen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314325</xdr:colOff>
      <xdr:row>86</xdr:row>
      <xdr:rowOff>19050</xdr:rowOff>
    </xdr:from>
    <xdr:to>
      <xdr:col>14</xdr:col>
      <xdr:colOff>143388</xdr:colOff>
      <xdr:row>86</xdr:row>
      <xdr:rowOff>20484</xdr:rowOff>
    </xdr:to>
    <xdr:cxnSp macro="">
      <xdr:nvCxnSpPr>
        <xdr:cNvPr id="111" name="110 Conector recto"/>
        <xdr:cNvCxnSpPr/>
      </xdr:nvCxnSpPr>
      <xdr:spPr>
        <a:xfrm>
          <a:off x="5588922" y="19663082"/>
          <a:ext cx="4796401" cy="14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279838</xdr:colOff>
      <xdr:row>85</xdr:row>
      <xdr:rowOff>151853</xdr:rowOff>
    </xdr:from>
    <xdr:to>
      <xdr:col>7</xdr:col>
      <xdr:colOff>378373</xdr:colOff>
      <xdr:row>86</xdr:row>
      <xdr:rowOff>64266</xdr:rowOff>
    </xdr:to>
    <xdr:cxnSp macro="">
      <xdr:nvCxnSpPr>
        <xdr:cNvPr id="112" name="111 Conector recto"/>
        <xdr:cNvCxnSpPr/>
      </xdr:nvCxnSpPr>
      <xdr:spPr>
        <a:xfrm flipH="1">
          <a:off x="5554435" y="14019434"/>
          <a:ext cx="98535" cy="10700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4379</xdr:colOff>
      <xdr:row>85</xdr:row>
      <xdr:rowOff>151415</xdr:rowOff>
    </xdr:from>
    <xdr:to>
      <xdr:col>9</xdr:col>
      <xdr:colOff>102914</xdr:colOff>
      <xdr:row>86</xdr:row>
      <xdr:rowOff>63828</xdr:rowOff>
    </xdr:to>
    <xdr:cxnSp macro="">
      <xdr:nvCxnSpPr>
        <xdr:cNvPr id="113" name="112 Conector recto"/>
        <xdr:cNvCxnSpPr/>
      </xdr:nvCxnSpPr>
      <xdr:spPr>
        <a:xfrm flipH="1">
          <a:off x="7183976" y="14018996"/>
          <a:ext cx="98535" cy="10700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52004</xdr:colOff>
      <xdr:row>85</xdr:row>
      <xdr:rowOff>132365</xdr:rowOff>
    </xdr:from>
    <xdr:to>
      <xdr:col>12</xdr:col>
      <xdr:colOff>150539</xdr:colOff>
      <xdr:row>86</xdr:row>
      <xdr:rowOff>44778</xdr:rowOff>
    </xdr:to>
    <xdr:cxnSp macro="">
      <xdr:nvCxnSpPr>
        <xdr:cNvPr id="114" name="113 Conector recto"/>
        <xdr:cNvCxnSpPr/>
      </xdr:nvCxnSpPr>
      <xdr:spPr>
        <a:xfrm flipH="1">
          <a:off x="8563052" y="13999946"/>
          <a:ext cx="98535" cy="10700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61529</xdr:colOff>
      <xdr:row>85</xdr:row>
      <xdr:rowOff>141890</xdr:rowOff>
    </xdr:from>
    <xdr:to>
      <xdr:col>14</xdr:col>
      <xdr:colOff>160064</xdr:colOff>
      <xdr:row>86</xdr:row>
      <xdr:rowOff>54303</xdr:rowOff>
    </xdr:to>
    <xdr:cxnSp macro="">
      <xdr:nvCxnSpPr>
        <xdr:cNvPr id="115" name="114 Conector recto"/>
        <xdr:cNvCxnSpPr/>
      </xdr:nvCxnSpPr>
      <xdr:spPr>
        <a:xfrm flipH="1">
          <a:off x="10303464" y="14009471"/>
          <a:ext cx="98535" cy="10700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680063</xdr:colOff>
      <xdr:row>81</xdr:row>
      <xdr:rowOff>57867</xdr:rowOff>
    </xdr:from>
    <xdr:to>
      <xdr:col>9</xdr:col>
      <xdr:colOff>307257</xdr:colOff>
      <xdr:row>81</xdr:row>
      <xdr:rowOff>276532</xdr:rowOff>
    </xdr:to>
    <xdr:sp macro="" textlink="">
      <xdr:nvSpPr>
        <xdr:cNvPr id="116" name="115 CuadroTexto"/>
        <xdr:cNvSpPr txBox="1"/>
      </xdr:nvSpPr>
      <xdr:spPr>
        <a:xfrm>
          <a:off x="7101757" y="12983190"/>
          <a:ext cx="385097" cy="2186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PE" sz="1100"/>
            <a:t>C-1</a:t>
          </a:r>
        </a:p>
      </xdr:txBody>
    </xdr:sp>
    <xdr:clientData/>
  </xdr:twoCellAnchor>
  <xdr:twoCellAnchor>
    <xdr:from>
      <xdr:col>11</xdr:col>
      <xdr:colOff>379360</xdr:colOff>
      <xdr:row>81</xdr:row>
      <xdr:rowOff>66675</xdr:rowOff>
    </xdr:from>
    <xdr:to>
      <xdr:col>12</xdr:col>
      <xdr:colOff>398410</xdr:colOff>
      <xdr:row>82</xdr:row>
      <xdr:rowOff>410</xdr:rowOff>
    </xdr:to>
    <xdr:sp macro="" textlink="">
      <xdr:nvSpPr>
        <xdr:cNvPr id="117" name="116 CuadroTexto"/>
        <xdr:cNvSpPr txBox="1"/>
      </xdr:nvSpPr>
      <xdr:spPr>
        <a:xfrm>
          <a:off x="8480731" y="18666030"/>
          <a:ext cx="428727" cy="200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PE" sz="1100"/>
            <a:t>C-1</a:t>
          </a:r>
        </a:p>
      </xdr:txBody>
    </xdr:sp>
    <xdr:clientData/>
  </xdr:twoCellAnchor>
  <xdr:twoCellAnchor>
    <xdr:from>
      <xdr:col>13</xdr:col>
      <xdr:colOff>669821</xdr:colOff>
      <xdr:row>81</xdr:row>
      <xdr:rowOff>57151</xdr:rowOff>
    </xdr:from>
    <xdr:to>
      <xdr:col>14</xdr:col>
      <xdr:colOff>337983</xdr:colOff>
      <xdr:row>81</xdr:row>
      <xdr:rowOff>245806</xdr:rowOff>
    </xdr:to>
    <xdr:sp macro="" textlink="">
      <xdr:nvSpPr>
        <xdr:cNvPr id="118" name="117 CuadroTexto"/>
        <xdr:cNvSpPr txBox="1"/>
      </xdr:nvSpPr>
      <xdr:spPr>
        <a:xfrm>
          <a:off x="10153853" y="12982474"/>
          <a:ext cx="426065" cy="1886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PE" sz="1100"/>
            <a:t>C-2</a:t>
          </a:r>
        </a:p>
      </xdr:txBody>
    </xdr:sp>
    <xdr:clientData/>
  </xdr:twoCellAnchor>
  <xdr:twoCellAnchor>
    <xdr:from>
      <xdr:col>7</xdr:col>
      <xdr:colOff>161924</xdr:colOff>
      <xdr:row>81</xdr:row>
      <xdr:rowOff>57150</xdr:rowOff>
    </xdr:from>
    <xdr:to>
      <xdr:col>7</xdr:col>
      <xdr:colOff>533399</xdr:colOff>
      <xdr:row>81</xdr:row>
      <xdr:rowOff>295275</xdr:rowOff>
    </xdr:to>
    <xdr:sp macro="" textlink="">
      <xdr:nvSpPr>
        <xdr:cNvPr id="120" name="119 CuadroTexto"/>
        <xdr:cNvSpPr txBox="1"/>
      </xdr:nvSpPr>
      <xdr:spPr>
        <a:xfrm>
          <a:off x="5436521" y="12982473"/>
          <a:ext cx="3714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PE" sz="1100"/>
            <a:t>C-2</a:t>
          </a:r>
        </a:p>
      </xdr:txBody>
    </xdr:sp>
    <xdr:clientData/>
  </xdr:twoCellAnchor>
  <xdr:twoCellAnchor>
    <xdr:from>
      <xdr:col>1</xdr:col>
      <xdr:colOff>956677</xdr:colOff>
      <xdr:row>72</xdr:row>
      <xdr:rowOff>169877</xdr:rowOff>
    </xdr:from>
    <xdr:to>
      <xdr:col>1</xdr:col>
      <xdr:colOff>1037167</xdr:colOff>
      <xdr:row>75</xdr:row>
      <xdr:rowOff>201079</xdr:rowOff>
    </xdr:to>
    <xdr:sp macro="" textlink="">
      <xdr:nvSpPr>
        <xdr:cNvPr id="122" name="121 Cerrar llave"/>
        <xdr:cNvSpPr/>
      </xdr:nvSpPr>
      <xdr:spPr>
        <a:xfrm flipH="1" flipV="1">
          <a:off x="1422344" y="16288294"/>
          <a:ext cx="80490" cy="835535"/>
        </a:xfrm>
        <a:prstGeom prst="rightBrace">
          <a:avLst/>
        </a:prstGeom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939744</xdr:colOff>
      <xdr:row>77</xdr:row>
      <xdr:rowOff>62988</xdr:rowOff>
    </xdr:from>
    <xdr:to>
      <xdr:col>1</xdr:col>
      <xdr:colOff>1037166</xdr:colOff>
      <xdr:row>80</xdr:row>
      <xdr:rowOff>125940</xdr:rowOff>
    </xdr:to>
    <xdr:sp macro="" textlink="">
      <xdr:nvSpPr>
        <xdr:cNvPr id="123" name="122 Cerrar llave"/>
        <xdr:cNvSpPr/>
      </xdr:nvSpPr>
      <xdr:spPr>
        <a:xfrm flipH="1" flipV="1">
          <a:off x="1405411" y="17472571"/>
          <a:ext cx="97422" cy="814369"/>
        </a:xfrm>
        <a:prstGeom prst="rightBrace">
          <a:avLst/>
        </a:prstGeom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15</xdr:col>
      <xdr:colOff>867</xdr:colOff>
      <xdr:row>130</xdr:row>
      <xdr:rowOff>176706</xdr:rowOff>
    </xdr:from>
    <xdr:ext cx="1150620" cy="5225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7 CuadroTexto"/>
            <xdr:cNvSpPr txBox="1"/>
          </xdr:nvSpPr>
          <xdr:spPr>
            <a:xfrm>
              <a:off x="12182284" y="28709373"/>
              <a:ext cx="1150620" cy="5225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PE" sz="1100" i="1">
                        <a:latin typeface="Cambria Math"/>
                      </a:rPr>
                      <m:t>𝑥</m:t>
                    </m:r>
                    <m:r>
                      <a:rPr lang="es-PE" sz="1100" i="1">
                        <a:latin typeface="Cambria Math"/>
                      </a:rPr>
                      <m:t>=</m:t>
                    </m:r>
                    <m:f>
                      <m:fPr>
                        <m:ctrlPr>
                          <a:rPr lang="es-PE" sz="1100" i="1">
                            <a:latin typeface="Cambria Math"/>
                          </a:rPr>
                        </m:ctrlPr>
                      </m:fPr>
                      <m:num>
                        <m:r>
                          <a:rPr lang="es-PE" sz="1100" i="1">
                            <a:latin typeface="Cambria Math"/>
                          </a:rPr>
                          <m:t>−</m:t>
                        </m:r>
                        <m:r>
                          <a:rPr lang="es-PE" sz="1100" i="1">
                            <a:latin typeface="Cambria Math"/>
                          </a:rPr>
                          <m:t>𝑏</m:t>
                        </m:r>
                        <m:r>
                          <a:rPr lang="es-PE" sz="1100" i="1">
                            <a:latin typeface="Cambria Math"/>
                          </a:rPr>
                          <m:t>±</m:t>
                        </m:r>
                        <m:rad>
                          <m:radPr>
                            <m:degHide m:val="on"/>
                            <m:ctrlPr>
                              <a:rPr lang="es-PE" sz="1100" i="1">
                                <a:latin typeface="Cambria Math"/>
                              </a:rPr>
                            </m:ctrlPr>
                          </m:radPr>
                          <m:deg/>
                          <m:e>
                            <m:sSup>
                              <m:sSupPr>
                                <m:ctrlPr>
                                  <a:rPr lang="es-PE" sz="1100" i="1">
                                    <a:latin typeface="Cambria Math"/>
                                  </a:rPr>
                                </m:ctrlPr>
                              </m:sSupPr>
                              <m:e>
                                <m:r>
                                  <a:rPr lang="es-PE" sz="1100" i="1">
                                    <a:latin typeface="Cambria Math"/>
                                  </a:rPr>
                                  <m:t>𝑏</m:t>
                                </m:r>
                              </m:e>
                              <m:sup>
                                <m:r>
                                  <a:rPr lang="es-PE" sz="1100" i="1">
                                    <a:latin typeface="Cambria Math"/>
                                  </a:rPr>
                                  <m:t>2</m:t>
                                </m:r>
                              </m:sup>
                            </m:sSup>
                            <m:r>
                              <a:rPr lang="es-PE" sz="1100" i="1">
                                <a:latin typeface="Cambria Math"/>
                              </a:rPr>
                              <m:t>−4</m:t>
                            </m:r>
                            <m:r>
                              <a:rPr lang="es-PE" sz="1100" i="1">
                                <a:latin typeface="Cambria Math"/>
                              </a:rPr>
                              <m:t>𝑎𝑐</m:t>
                            </m:r>
                          </m:e>
                        </m:rad>
                      </m:num>
                      <m:den>
                        <m:r>
                          <a:rPr lang="es-PE" sz="1100" i="1">
                            <a:latin typeface="Cambria Math"/>
                          </a:rPr>
                          <m:t>2</m:t>
                        </m:r>
                        <m:r>
                          <a:rPr lang="es-PE" sz="1100" i="1">
                            <a:latin typeface="Cambria Math"/>
                          </a:rPr>
                          <m:t>𝑎</m:t>
                        </m:r>
                      </m:den>
                    </m:f>
                  </m:oMath>
                </m:oMathPara>
              </a14:m>
              <a:endParaRPr lang="es-PE" sz="1100"/>
            </a:p>
          </xdr:txBody>
        </xdr:sp>
      </mc:Choice>
      <mc:Fallback xmlns="">
        <xdr:sp macro="" textlink="">
          <xdr:nvSpPr>
            <xdr:cNvPr id="8" name="7 CuadroTexto"/>
            <xdr:cNvSpPr txBox="1"/>
          </xdr:nvSpPr>
          <xdr:spPr>
            <a:xfrm>
              <a:off x="12182284" y="28709373"/>
              <a:ext cx="1150620" cy="5225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rtlCol="0" anchor="t">
              <a:spAutoFit/>
            </a:bodyPr>
            <a:lstStyle/>
            <a:p>
              <a:pPr/>
              <a:r>
                <a:rPr lang="es-PE" sz="1100" i="0">
                  <a:latin typeface="Cambria Math"/>
                </a:rPr>
                <a:t>𝑥=(−𝑏±√(𝑏^2−4𝑎𝑐))/2𝑎</a:t>
              </a:r>
              <a:endParaRPr lang="es-PE" sz="1100"/>
            </a:p>
          </xdr:txBody>
        </xdr:sp>
      </mc:Fallback>
    </mc:AlternateContent>
    <xdr:clientData/>
  </xdr:oneCellAnchor>
  <xdr:oneCellAnchor>
    <xdr:from>
      <xdr:col>3</xdr:col>
      <xdr:colOff>886046</xdr:colOff>
      <xdr:row>135</xdr:row>
      <xdr:rowOff>99681</xdr:rowOff>
    </xdr:from>
    <xdr:ext cx="310117" cy="22151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8 CuadroTexto"/>
            <xdr:cNvSpPr txBox="1"/>
          </xdr:nvSpPr>
          <xdr:spPr>
            <a:xfrm>
              <a:off x="2946104" y="26980117"/>
              <a:ext cx="310117" cy="2215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PE" sz="1100" i="1">
                        <a:solidFill>
                          <a:schemeClr val="tx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±</m:t>
                    </m:r>
                  </m:oMath>
                </m:oMathPara>
              </a14:m>
              <a:endParaRPr lang="es-PE" sz="1100"/>
            </a:p>
          </xdr:txBody>
        </xdr:sp>
      </mc:Choice>
      <mc:Fallback xmlns="">
        <xdr:sp macro="" textlink="">
          <xdr:nvSpPr>
            <xdr:cNvPr id="9" name="8 CuadroTexto"/>
            <xdr:cNvSpPr txBox="1"/>
          </xdr:nvSpPr>
          <xdr:spPr>
            <a:xfrm>
              <a:off x="2946104" y="26980117"/>
              <a:ext cx="310117" cy="2215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es-PE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±</a:t>
              </a:r>
              <a:endParaRPr lang="es-PE" sz="1100"/>
            </a:p>
          </xdr:txBody>
        </xdr:sp>
      </mc:Fallback>
    </mc:AlternateContent>
    <xdr:clientData/>
  </xdr:oneCellAnchor>
  <xdr:oneCellAnchor>
    <xdr:from>
      <xdr:col>3</xdr:col>
      <xdr:colOff>639724</xdr:colOff>
      <xdr:row>135</xdr:row>
      <xdr:rowOff>207778</xdr:rowOff>
    </xdr:from>
    <xdr:ext cx="310117" cy="221511"/>
    <xdr:sp macro="" textlink="">
      <xdr:nvSpPr>
        <xdr:cNvPr id="64" name="63 CuadroTexto"/>
        <xdr:cNvSpPr txBox="1"/>
      </xdr:nvSpPr>
      <xdr:spPr>
        <a:xfrm>
          <a:off x="2699782" y="27088214"/>
          <a:ext cx="310117" cy="2215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s-PE" sz="1100"/>
            <a:t>2</a:t>
          </a:r>
        </a:p>
        <a:p>
          <a:endParaRPr lang="es-PE" sz="1100"/>
        </a:p>
      </xdr:txBody>
    </xdr:sp>
    <xdr:clientData/>
  </xdr:oneCellAnchor>
  <xdr:oneCellAnchor>
    <xdr:from>
      <xdr:col>5</xdr:col>
      <xdr:colOff>227269</xdr:colOff>
      <xdr:row>135</xdr:row>
      <xdr:rowOff>227272</xdr:rowOff>
    </xdr:from>
    <xdr:ext cx="310117" cy="221511"/>
    <xdr:sp macro="" textlink="">
      <xdr:nvSpPr>
        <xdr:cNvPr id="65" name="64 CuadroTexto"/>
        <xdr:cNvSpPr txBox="1"/>
      </xdr:nvSpPr>
      <xdr:spPr>
        <a:xfrm>
          <a:off x="3992967" y="27107708"/>
          <a:ext cx="310117" cy="2215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s-PE" sz="1100"/>
            <a:t>3</a:t>
          </a:r>
        </a:p>
        <a:p>
          <a:endParaRPr lang="es-PE" sz="1100"/>
        </a:p>
      </xdr:txBody>
    </xdr:sp>
    <xdr:clientData/>
  </xdr:oneCellAnchor>
  <xdr:twoCellAnchor>
    <xdr:from>
      <xdr:col>3</xdr:col>
      <xdr:colOff>210435</xdr:colOff>
      <xdr:row>136</xdr:row>
      <xdr:rowOff>33226</xdr:rowOff>
    </xdr:from>
    <xdr:to>
      <xdr:col>3</xdr:col>
      <xdr:colOff>719912</xdr:colOff>
      <xdr:row>137</xdr:row>
      <xdr:rowOff>0</xdr:rowOff>
    </xdr:to>
    <xdr:sp macro="" textlink="">
      <xdr:nvSpPr>
        <xdr:cNvPr id="11" name="10 Corchetes"/>
        <xdr:cNvSpPr/>
      </xdr:nvSpPr>
      <xdr:spPr>
        <a:xfrm>
          <a:off x="2270493" y="27212703"/>
          <a:ext cx="509477" cy="155059"/>
        </a:xfrm>
        <a:prstGeom prst="bracketPair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595421</xdr:colOff>
      <xdr:row>136</xdr:row>
      <xdr:rowOff>19492</xdr:rowOff>
    </xdr:from>
    <xdr:to>
      <xdr:col>5</xdr:col>
      <xdr:colOff>285305</xdr:colOff>
      <xdr:row>137</xdr:row>
      <xdr:rowOff>11075</xdr:rowOff>
    </xdr:to>
    <xdr:sp macro="" textlink="">
      <xdr:nvSpPr>
        <xdr:cNvPr id="79" name="78 Corchetes"/>
        <xdr:cNvSpPr/>
      </xdr:nvSpPr>
      <xdr:spPr>
        <a:xfrm>
          <a:off x="3541526" y="27198969"/>
          <a:ext cx="509477" cy="257397"/>
        </a:xfrm>
        <a:prstGeom prst="bracketPair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387644</xdr:colOff>
      <xdr:row>135</xdr:row>
      <xdr:rowOff>66453</xdr:rowOff>
    </xdr:from>
    <xdr:to>
      <xdr:col>6</xdr:col>
      <xdr:colOff>786365</xdr:colOff>
      <xdr:row>137</xdr:row>
      <xdr:rowOff>110755</xdr:rowOff>
    </xdr:to>
    <xdr:sp macro="" textlink="">
      <xdr:nvSpPr>
        <xdr:cNvPr id="12" name="11 Abrir corchete"/>
        <xdr:cNvSpPr/>
      </xdr:nvSpPr>
      <xdr:spPr>
        <a:xfrm>
          <a:off x="5028313" y="26946889"/>
          <a:ext cx="398721" cy="609157"/>
        </a:xfrm>
        <a:prstGeom prst="lef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3</xdr:col>
      <xdr:colOff>886046</xdr:colOff>
      <xdr:row>141</xdr:row>
      <xdr:rowOff>99681</xdr:rowOff>
    </xdr:from>
    <xdr:ext cx="310117" cy="22151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" name="79 CuadroTexto"/>
            <xdr:cNvSpPr txBox="1"/>
          </xdr:nvSpPr>
          <xdr:spPr>
            <a:xfrm>
              <a:off x="2946104" y="26980117"/>
              <a:ext cx="310117" cy="2215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PE" sz="1100" i="1">
                        <a:solidFill>
                          <a:schemeClr val="tx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±</m:t>
                    </m:r>
                  </m:oMath>
                </m:oMathPara>
              </a14:m>
              <a:endParaRPr lang="es-PE" sz="1100"/>
            </a:p>
          </xdr:txBody>
        </xdr:sp>
      </mc:Choice>
      <mc:Fallback xmlns="">
        <xdr:sp macro="" textlink="">
          <xdr:nvSpPr>
            <xdr:cNvPr id="80" name="79 CuadroTexto"/>
            <xdr:cNvSpPr txBox="1"/>
          </xdr:nvSpPr>
          <xdr:spPr>
            <a:xfrm>
              <a:off x="2946104" y="26980117"/>
              <a:ext cx="310117" cy="2215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es-PE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±</a:t>
              </a:r>
              <a:endParaRPr lang="es-PE" sz="1100"/>
            </a:p>
          </xdr:txBody>
        </xdr:sp>
      </mc:Fallback>
    </mc:AlternateContent>
    <xdr:clientData/>
  </xdr:oneCellAnchor>
  <xdr:oneCellAnchor>
    <xdr:from>
      <xdr:col>3</xdr:col>
      <xdr:colOff>639724</xdr:colOff>
      <xdr:row>141</xdr:row>
      <xdr:rowOff>207778</xdr:rowOff>
    </xdr:from>
    <xdr:ext cx="310117" cy="221511"/>
    <xdr:sp macro="" textlink="">
      <xdr:nvSpPr>
        <xdr:cNvPr id="81" name="80 CuadroTexto"/>
        <xdr:cNvSpPr txBox="1"/>
      </xdr:nvSpPr>
      <xdr:spPr>
        <a:xfrm>
          <a:off x="2699782" y="27088214"/>
          <a:ext cx="310117" cy="2215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s-PE" sz="1100"/>
            <a:t>2</a:t>
          </a:r>
        </a:p>
        <a:p>
          <a:endParaRPr lang="es-PE" sz="1100"/>
        </a:p>
      </xdr:txBody>
    </xdr:sp>
    <xdr:clientData/>
  </xdr:oneCellAnchor>
  <xdr:oneCellAnchor>
    <xdr:from>
      <xdr:col>5</xdr:col>
      <xdr:colOff>227269</xdr:colOff>
      <xdr:row>141</xdr:row>
      <xdr:rowOff>227272</xdr:rowOff>
    </xdr:from>
    <xdr:ext cx="310117" cy="221511"/>
    <xdr:sp macro="" textlink="">
      <xdr:nvSpPr>
        <xdr:cNvPr id="87" name="86 CuadroTexto"/>
        <xdr:cNvSpPr txBox="1"/>
      </xdr:nvSpPr>
      <xdr:spPr>
        <a:xfrm>
          <a:off x="3992967" y="27107708"/>
          <a:ext cx="310117" cy="2215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s-PE" sz="1100"/>
            <a:t>3</a:t>
          </a:r>
        </a:p>
        <a:p>
          <a:endParaRPr lang="es-PE" sz="1100"/>
        </a:p>
      </xdr:txBody>
    </xdr:sp>
    <xdr:clientData/>
  </xdr:oneCellAnchor>
  <xdr:twoCellAnchor>
    <xdr:from>
      <xdr:col>3</xdr:col>
      <xdr:colOff>210435</xdr:colOff>
      <xdr:row>142</xdr:row>
      <xdr:rowOff>33226</xdr:rowOff>
    </xdr:from>
    <xdr:to>
      <xdr:col>3</xdr:col>
      <xdr:colOff>719912</xdr:colOff>
      <xdr:row>143</xdr:row>
      <xdr:rowOff>0</xdr:rowOff>
    </xdr:to>
    <xdr:sp macro="" textlink="">
      <xdr:nvSpPr>
        <xdr:cNvPr id="101" name="100 Corchetes"/>
        <xdr:cNvSpPr/>
      </xdr:nvSpPr>
      <xdr:spPr>
        <a:xfrm>
          <a:off x="2270493" y="27212703"/>
          <a:ext cx="509477" cy="232588"/>
        </a:xfrm>
        <a:prstGeom prst="bracketPair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387644</xdr:colOff>
      <xdr:row>141</xdr:row>
      <xdr:rowOff>66453</xdr:rowOff>
    </xdr:from>
    <xdr:to>
      <xdr:col>6</xdr:col>
      <xdr:colOff>786365</xdr:colOff>
      <xdr:row>143</xdr:row>
      <xdr:rowOff>110755</xdr:rowOff>
    </xdr:to>
    <xdr:sp macro="" textlink="">
      <xdr:nvSpPr>
        <xdr:cNvPr id="110" name="109 Abrir corchete"/>
        <xdr:cNvSpPr/>
      </xdr:nvSpPr>
      <xdr:spPr>
        <a:xfrm>
          <a:off x="5028313" y="26946889"/>
          <a:ext cx="398721" cy="609157"/>
        </a:xfrm>
        <a:prstGeom prst="lef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830669</xdr:colOff>
      <xdr:row>149</xdr:row>
      <xdr:rowOff>44302</xdr:rowOff>
    </xdr:from>
    <xdr:to>
      <xdr:col>4</xdr:col>
      <xdr:colOff>398721</xdr:colOff>
      <xdr:row>150</xdr:row>
      <xdr:rowOff>11075</xdr:rowOff>
    </xdr:to>
    <xdr:sp macro="" textlink="">
      <xdr:nvSpPr>
        <xdr:cNvPr id="13" name="12 Flecha derecha"/>
        <xdr:cNvSpPr/>
      </xdr:nvSpPr>
      <xdr:spPr>
        <a:xfrm>
          <a:off x="2890727" y="30048052"/>
          <a:ext cx="454099" cy="155058"/>
        </a:xfrm>
        <a:prstGeom prst="rightArrow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3</xdr:col>
      <xdr:colOff>886046</xdr:colOff>
      <xdr:row>160</xdr:row>
      <xdr:rowOff>99681</xdr:rowOff>
    </xdr:from>
    <xdr:ext cx="310117" cy="22151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9" name="118 CuadroTexto"/>
            <xdr:cNvSpPr txBox="1"/>
          </xdr:nvSpPr>
          <xdr:spPr>
            <a:xfrm>
              <a:off x="2946104" y="28486396"/>
              <a:ext cx="310117" cy="2215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PE" sz="1100" i="1">
                        <a:solidFill>
                          <a:schemeClr val="tx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±</m:t>
                    </m:r>
                  </m:oMath>
                </m:oMathPara>
              </a14:m>
              <a:endParaRPr lang="es-PE" sz="1100"/>
            </a:p>
          </xdr:txBody>
        </xdr:sp>
      </mc:Choice>
      <mc:Fallback xmlns="">
        <xdr:sp macro="" textlink="">
          <xdr:nvSpPr>
            <xdr:cNvPr id="119" name="118 CuadroTexto"/>
            <xdr:cNvSpPr txBox="1"/>
          </xdr:nvSpPr>
          <xdr:spPr>
            <a:xfrm>
              <a:off x="2946104" y="28486396"/>
              <a:ext cx="310117" cy="2215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es-PE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±</a:t>
              </a:r>
              <a:endParaRPr lang="es-PE" sz="1100"/>
            </a:p>
          </xdr:txBody>
        </xdr:sp>
      </mc:Fallback>
    </mc:AlternateContent>
    <xdr:clientData/>
  </xdr:oneCellAnchor>
  <xdr:oneCellAnchor>
    <xdr:from>
      <xdr:col>3</xdr:col>
      <xdr:colOff>639724</xdr:colOff>
      <xdr:row>160</xdr:row>
      <xdr:rowOff>207778</xdr:rowOff>
    </xdr:from>
    <xdr:ext cx="310117" cy="221511"/>
    <xdr:sp macro="" textlink="">
      <xdr:nvSpPr>
        <xdr:cNvPr id="121" name="120 CuadroTexto"/>
        <xdr:cNvSpPr txBox="1"/>
      </xdr:nvSpPr>
      <xdr:spPr>
        <a:xfrm>
          <a:off x="2699782" y="28594493"/>
          <a:ext cx="310117" cy="2215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s-PE" sz="1100"/>
            <a:t>2</a:t>
          </a:r>
        </a:p>
        <a:p>
          <a:endParaRPr lang="es-PE" sz="1100"/>
        </a:p>
      </xdr:txBody>
    </xdr:sp>
    <xdr:clientData/>
  </xdr:oneCellAnchor>
  <xdr:oneCellAnchor>
    <xdr:from>
      <xdr:col>5</xdr:col>
      <xdr:colOff>227269</xdr:colOff>
      <xdr:row>160</xdr:row>
      <xdr:rowOff>227272</xdr:rowOff>
    </xdr:from>
    <xdr:ext cx="310117" cy="221511"/>
    <xdr:sp macro="" textlink="">
      <xdr:nvSpPr>
        <xdr:cNvPr id="124" name="123 CuadroTexto"/>
        <xdr:cNvSpPr txBox="1"/>
      </xdr:nvSpPr>
      <xdr:spPr>
        <a:xfrm>
          <a:off x="3992967" y="28613987"/>
          <a:ext cx="310117" cy="2215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s-PE" sz="1100"/>
            <a:t>3</a:t>
          </a:r>
        </a:p>
        <a:p>
          <a:endParaRPr lang="es-PE" sz="1100"/>
        </a:p>
      </xdr:txBody>
    </xdr:sp>
    <xdr:clientData/>
  </xdr:oneCellAnchor>
  <xdr:twoCellAnchor>
    <xdr:from>
      <xdr:col>3</xdr:col>
      <xdr:colOff>210435</xdr:colOff>
      <xdr:row>161</xdr:row>
      <xdr:rowOff>33226</xdr:rowOff>
    </xdr:from>
    <xdr:to>
      <xdr:col>3</xdr:col>
      <xdr:colOff>719912</xdr:colOff>
      <xdr:row>162</xdr:row>
      <xdr:rowOff>0</xdr:rowOff>
    </xdr:to>
    <xdr:sp macro="" textlink="">
      <xdr:nvSpPr>
        <xdr:cNvPr id="125" name="124 Corchetes"/>
        <xdr:cNvSpPr/>
      </xdr:nvSpPr>
      <xdr:spPr>
        <a:xfrm>
          <a:off x="2270493" y="28718982"/>
          <a:ext cx="509477" cy="155059"/>
        </a:xfrm>
        <a:prstGeom prst="bracketPair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595421</xdr:colOff>
      <xdr:row>161</xdr:row>
      <xdr:rowOff>19492</xdr:rowOff>
    </xdr:from>
    <xdr:to>
      <xdr:col>5</xdr:col>
      <xdr:colOff>285305</xdr:colOff>
      <xdr:row>162</xdr:row>
      <xdr:rowOff>11075</xdr:rowOff>
    </xdr:to>
    <xdr:sp macro="" textlink="">
      <xdr:nvSpPr>
        <xdr:cNvPr id="126" name="125 Corchetes"/>
        <xdr:cNvSpPr/>
      </xdr:nvSpPr>
      <xdr:spPr>
        <a:xfrm>
          <a:off x="3537588" y="31790659"/>
          <a:ext cx="504800" cy="182083"/>
        </a:xfrm>
        <a:prstGeom prst="bracketPair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6</xdr:col>
      <xdr:colOff>343342</xdr:colOff>
      <xdr:row>160</xdr:row>
      <xdr:rowOff>121831</xdr:rowOff>
    </xdr:from>
    <xdr:to>
      <xdr:col>6</xdr:col>
      <xdr:colOff>742063</xdr:colOff>
      <xdr:row>162</xdr:row>
      <xdr:rowOff>0</xdr:rowOff>
    </xdr:to>
    <xdr:sp macro="" textlink="">
      <xdr:nvSpPr>
        <xdr:cNvPr id="127" name="126 Abrir corchete"/>
        <xdr:cNvSpPr/>
      </xdr:nvSpPr>
      <xdr:spPr>
        <a:xfrm>
          <a:off x="4984011" y="31443575"/>
          <a:ext cx="398721" cy="365495"/>
        </a:xfrm>
        <a:prstGeom prst="lef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11076</xdr:colOff>
      <xdr:row>174</xdr:row>
      <xdr:rowOff>63500</xdr:rowOff>
    </xdr:from>
    <xdr:to>
      <xdr:col>2</xdr:col>
      <xdr:colOff>21166</xdr:colOff>
      <xdr:row>177</xdr:row>
      <xdr:rowOff>0</xdr:rowOff>
    </xdr:to>
    <xdr:cxnSp macro="">
      <xdr:nvCxnSpPr>
        <xdr:cNvPr id="15" name="14 Conector recto"/>
        <xdr:cNvCxnSpPr/>
      </xdr:nvCxnSpPr>
      <xdr:spPr>
        <a:xfrm flipH="1">
          <a:off x="2064243" y="33845500"/>
          <a:ext cx="10090" cy="50800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21167</xdr:colOff>
      <xdr:row>174</xdr:row>
      <xdr:rowOff>53902</xdr:rowOff>
    </xdr:from>
    <xdr:to>
      <xdr:col>3</xdr:col>
      <xdr:colOff>144475</xdr:colOff>
      <xdr:row>174</xdr:row>
      <xdr:rowOff>63500</xdr:rowOff>
    </xdr:to>
    <xdr:cxnSp macro="">
      <xdr:nvCxnSpPr>
        <xdr:cNvPr id="128" name="127 Conector recto"/>
        <xdr:cNvCxnSpPr/>
      </xdr:nvCxnSpPr>
      <xdr:spPr>
        <a:xfrm flipH="1">
          <a:off x="2074334" y="36894485"/>
          <a:ext cx="1012308" cy="9598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174551</xdr:colOff>
      <xdr:row>172</xdr:row>
      <xdr:rowOff>141324</xdr:rowOff>
    </xdr:from>
    <xdr:to>
      <xdr:col>3</xdr:col>
      <xdr:colOff>177209</xdr:colOff>
      <xdr:row>175</xdr:row>
      <xdr:rowOff>22151</xdr:rowOff>
    </xdr:to>
    <xdr:cxnSp macro="">
      <xdr:nvCxnSpPr>
        <xdr:cNvPr id="129" name="128 Conector recto"/>
        <xdr:cNvCxnSpPr/>
      </xdr:nvCxnSpPr>
      <xdr:spPr>
        <a:xfrm>
          <a:off x="3120656" y="32326964"/>
          <a:ext cx="2658" cy="445681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643247</xdr:colOff>
      <xdr:row>173</xdr:row>
      <xdr:rowOff>37111</xdr:rowOff>
    </xdr:from>
    <xdr:to>
      <xdr:col>3</xdr:col>
      <xdr:colOff>653459</xdr:colOff>
      <xdr:row>174</xdr:row>
      <xdr:rowOff>191737</xdr:rowOff>
    </xdr:to>
    <xdr:cxnSp macro="">
      <xdr:nvCxnSpPr>
        <xdr:cNvPr id="130" name="129 Conector recto"/>
        <xdr:cNvCxnSpPr/>
      </xdr:nvCxnSpPr>
      <xdr:spPr>
        <a:xfrm>
          <a:off x="3581153" y="32749919"/>
          <a:ext cx="10212" cy="346363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653459</xdr:colOff>
      <xdr:row>174</xdr:row>
      <xdr:rowOff>8418</xdr:rowOff>
    </xdr:from>
    <xdr:to>
      <xdr:col>4</xdr:col>
      <xdr:colOff>872313</xdr:colOff>
      <xdr:row>174</xdr:row>
      <xdr:rowOff>11076</xdr:rowOff>
    </xdr:to>
    <xdr:cxnSp macro="">
      <xdr:nvCxnSpPr>
        <xdr:cNvPr id="131" name="130 Conector recto"/>
        <xdr:cNvCxnSpPr/>
      </xdr:nvCxnSpPr>
      <xdr:spPr>
        <a:xfrm flipH="1">
          <a:off x="3599564" y="32570627"/>
          <a:ext cx="1038447" cy="2658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867834</xdr:colOff>
      <xdr:row>174</xdr:row>
      <xdr:rowOff>10583</xdr:rowOff>
    </xdr:from>
    <xdr:to>
      <xdr:col>4</xdr:col>
      <xdr:colOff>872313</xdr:colOff>
      <xdr:row>176</xdr:row>
      <xdr:rowOff>185627</xdr:rowOff>
    </xdr:to>
    <xdr:cxnSp macro="">
      <xdr:nvCxnSpPr>
        <xdr:cNvPr id="132" name="131 Conector recto"/>
        <xdr:cNvCxnSpPr/>
      </xdr:nvCxnSpPr>
      <xdr:spPr>
        <a:xfrm>
          <a:off x="4624917" y="33792583"/>
          <a:ext cx="4479" cy="556044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5761</xdr:colOff>
      <xdr:row>176</xdr:row>
      <xdr:rowOff>182970</xdr:rowOff>
    </xdr:from>
    <xdr:to>
      <xdr:col>4</xdr:col>
      <xdr:colOff>867834</xdr:colOff>
      <xdr:row>177</xdr:row>
      <xdr:rowOff>0</xdr:rowOff>
    </xdr:to>
    <xdr:cxnSp macro="">
      <xdr:nvCxnSpPr>
        <xdr:cNvPr id="133" name="132 Conector recto"/>
        <xdr:cNvCxnSpPr/>
      </xdr:nvCxnSpPr>
      <xdr:spPr>
        <a:xfrm flipH="1" flipV="1">
          <a:off x="2058928" y="37404553"/>
          <a:ext cx="2565989" cy="7530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110755</xdr:colOff>
      <xdr:row>172</xdr:row>
      <xdr:rowOff>132907</xdr:rowOff>
    </xdr:from>
    <xdr:to>
      <xdr:col>3</xdr:col>
      <xdr:colOff>697761</xdr:colOff>
      <xdr:row>173</xdr:row>
      <xdr:rowOff>44303</xdr:rowOff>
    </xdr:to>
    <xdr:cxnSp macro="">
      <xdr:nvCxnSpPr>
        <xdr:cNvPr id="29" name="28 Conector angular"/>
        <xdr:cNvCxnSpPr/>
      </xdr:nvCxnSpPr>
      <xdr:spPr>
        <a:xfrm>
          <a:off x="3056860" y="32318547"/>
          <a:ext cx="587006" cy="99680"/>
        </a:xfrm>
        <a:prstGeom prst="bentConnector3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10583</xdr:colOff>
      <xdr:row>177</xdr:row>
      <xdr:rowOff>127000</xdr:rowOff>
    </xdr:from>
    <xdr:to>
      <xdr:col>3</xdr:col>
      <xdr:colOff>10583</xdr:colOff>
      <xdr:row>180</xdr:row>
      <xdr:rowOff>42333</xdr:rowOff>
    </xdr:to>
    <xdr:cxnSp macro="">
      <xdr:nvCxnSpPr>
        <xdr:cNvPr id="66" name="65 Conector recto de flecha"/>
        <xdr:cNvCxnSpPr/>
      </xdr:nvCxnSpPr>
      <xdr:spPr>
        <a:xfrm flipV="1">
          <a:off x="2952750" y="34374667"/>
          <a:ext cx="0" cy="48683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10584</xdr:colOff>
      <xdr:row>179</xdr:row>
      <xdr:rowOff>74083</xdr:rowOff>
    </xdr:from>
    <xdr:to>
      <xdr:col>5</xdr:col>
      <xdr:colOff>21167</xdr:colOff>
      <xdr:row>181</xdr:row>
      <xdr:rowOff>127000</xdr:rowOff>
    </xdr:to>
    <xdr:cxnSp macro="">
      <xdr:nvCxnSpPr>
        <xdr:cNvPr id="135" name="134 Conector recto"/>
        <xdr:cNvCxnSpPr/>
      </xdr:nvCxnSpPr>
      <xdr:spPr>
        <a:xfrm flipH="1" flipV="1">
          <a:off x="2063751" y="34702750"/>
          <a:ext cx="2592916" cy="433917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416983</xdr:colOff>
      <xdr:row>177</xdr:row>
      <xdr:rowOff>152400</xdr:rowOff>
    </xdr:from>
    <xdr:to>
      <xdr:col>3</xdr:col>
      <xdr:colOff>416983</xdr:colOff>
      <xdr:row>180</xdr:row>
      <xdr:rowOff>67733</xdr:rowOff>
    </xdr:to>
    <xdr:cxnSp macro="">
      <xdr:nvCxnSpPr>
        <xdr:cNvPr id="138" name="137 Conector recto de flecha"/>
        <xdr:cNvCxnSpPr/>
      </xdr:nvCxnSpPr>
      <xdr:spPr>
        <a:xfrm flipV="1">
          <a:off x="3359150" y="34400067"/>
          <a:ext cx="0" cy="48683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</xdr:colOff>
      <xdr:row>177</xdr:row>
      <xdr:rowOff>119063</xdr:rowOff>
    </xdr:from>
    <xdr:to>
      <xdr:col>4</xdr:col>
      <xdr:colOff>35718</xdr:colOff>
      <xdr:row>180</xdr:row>
      <xdr:rowOff>166688</xdr:rowOff>
    </xdr:to>
    <xdr:cxnSp macro="">
      <xdr:nvCxnSpPr>
        <xdr:cNvPr id="139" name="138 Conector recto de flecha"/>
        <xdr:cNvCxnSpPr/>
      </xdr:nvCxnSpPr>
      <xdr:spPr>
        <a:xfrm flipH="1" flipV="1">
          <a:off x="3429000" y="38111907"/>
          <a:ext cx="11906" cy="63103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410632</xdr:colOff>
      <xdr:row>177</xdr:row>
      <xdr:rowOff>156636</xdr:rowOff>
    </xdr:from>
    <xdr:to>
      <xdr:col>4</xdr:col>
      <xdr:colOff>423334</xdr:colOff>
      <xdr:row>181</xdr:row>
      <xdr:rowOff>31750</xdr:rowOff>
    </xdr:to>
    <xdr:cxnSp macro="">
      <xdr:nvCxnSpPr>
        <xdr:cNvPr id="141" name="140 Conector recto de flecha"/>
        <xdr:cNvCxnSpPr/>
      </xdr:nvCxnSpPr>
      <xdr:spPr>
        <a:xfrm flipH="1" flipV="1">
          <a:off x="4167715" y="34404303"/>
          <a:ext cx="12702" cy="63711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855132</xdr:colOff>
      <xdr:row>177</xdr:row>
      <xdr:rowOff>156637</xdr:rowOff>
    </xdr:from>
    <xdr:to>
      <xdr:col>4</xdr:col>
      <xdr:colOff>867834</xdr:colOff>
      <xdr:row>181</xdr:row>
      <xdr:rowOff>127000</xdr:rowOff>
    </xdr:to>
    <xdr:cxnSp macro="">
      <xdr:nvCxnSpPr>
        <xdr:cNvPr id="143" name="142 Conector recto de flecha"/>
        <xdr:cNvCxnSpPr/>
      </xdr:nvCxnSpPr>
      <xdr:spPr>
        <a:xfrm flipH="1" flipV="1">
          <a:off x="4612215" y="34404304"/>
          <a:ext cx="12702" cy="73236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444500</xdr:colOff>
      <xdr:row>177</xdr:row>
      <xdr:rowOff>141818</xdr:rowOff>
    </xdr:from>
    <xdr:to>
      <xdr:col>2</xdr:col>
      <xdr:colOff>448733</xdr:colOff>
      <xdr:row>179</xdr:row>
      <xdr:rowOff>137583</xdr:rowOff>
    </xdr:to>
    <xdr:cxnSp macro="">
      <xdr:nvCxnSpPr>
        <xdr:cNvPr id="145" name="144 Conector recto de flecha"/>
        <xdr:cNvCxnSpPr/>
      </xdr:nvCxnSpPr>
      <xdr:spPr>
        <a:xfrm flipV="1">
          <a:off x="2497667" y="34389485"/>
          <a:ext cx="4233" cy="37676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177</xdr:row>
      <xdr:rowOff>146053</xdr:rowOff>
    </xdr:from>
    <xdr:to>
      <xdr:col>2</xdr:col>
      <xdr:colOff>8467</xdr:colOff>
      <xdr:row>179</xdr:row>
      <xdr:rowOff>74083</xdr:rowOff>
    </xdr:to>
    <xdr:cxnSp macro="">
      <xdr:nvCxnSpPr>
        <xdr:cNvPr id="147" name="146 Conector recto de flecha"/>
        <xdr:cNvCxnSpPr/>
      </xdr:nvCxnSpPr>
      <xdr:spPr>
        <a:xfrm flipV="1">
          <a:off x="2053167" y="34393720"/>
          <a:ext cx="8467" cy="30903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17275</xdr:colOff>
      <xdr:row>171</xdr:row>
      <xdr:rowOff>45583</xdr:rowOff>
    </xdr:from>
    <xdr:to>
      <xdr:col>9</xdr:col>
      <xdr:colOff>285749</xdr:colOff>
      <xdr:row>171</xdr:row>
      <xdr:rowOff>222251</xdr:rowOff>
    </xdr:to>
    <xdr:sp macro="" textlink="">
      <xdr:nvSpPr>
        <xdr:cNvPr id="151" name="150 Corchetes"/>
        <xdr:cNvSpPr/>
      </xdr:nvSpPr>
      <xdr:spPr>
        <a:xfrm>
          <a:off x="8229942" y="33150250"/>
          <a:ext cx="892890" cy="176668"/>
        </a:xfrm>
        <a:prstGeom prst="bracketPair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614176</xdr:colOff>
      <xdr:row>142</xdr:row>
      <xdr:rowOff>28648</xdr:rowOff>
    </xdr:from>
    <xdr:to>
      <xdr:col>5</xdr:col>
      <xdr:colOff>304060</xdr:colOff>
      <xdr:row>143</xdr:row>
      <xdr:rowOff>20231</xdr:rowOff>
    </xdr:to>
    <xdr:sp macro="" textlink="">
      <xdr:nvSpPr>
        <xdr:cNvPr id="152" name="151 Corchetes"/>
        <xdr:cNvSpPr/>
      </xdr:nvSpPr>
      <xdr:spPr>
        <a:xfrm>
          <a:off x="3556343" y="28847065"/>
          <a:ext cx="504800" cy="182083"/>
        </a:xfrm>
        <a:prstGeom prst="bracketPair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13</xdr:col>
      <xdr:colOff>21166</xdr:colOff>
      <xdr:row>171</xdr:row>
      <xdr:rowOff>5086</xdr:rowOff>
    </xdr:from>
    <xdr:to>
      <xdr:col>13</xdr:col>
      <xdr:colOff>141569</xdr:colOff>
      <xdr:row>172</xdr:row>
      <xdr:rowOff>10584</xdr:rowOff>
    </xdr:to>
    <xdr:cxnSp macro="">
      <xdr:nvCxnSpPr>
        <xdr:cNvPr id="153" name="152 Conector recto"/>
        <xdr:cNvCxnSpPr/>
      </xdr:nvCxnSpPr>
      <xdr:spPr>
        <a:xfrm flipH="1">
          <a:off x="11313583" y="33109753"/>
          <a:ext cx="120403" cy="248914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8220</xdr:colOff>
      <xdr:row>171</xdr:row>
      <xdr:rowOff>30486</xdr:rowOff>
    </xdr:from>
    <xdr:to>
      <xdr:col>13</xdr:col>
      <xdr:colOff>10583</xdr:colOff>
      <xdr:row>172</xdr:row>
      <xdr:rowOff>10584</xdr:rowOff>
    </xdr:to>
    <xdr:cxnSp macro="">
      <xdr:nvCxnSpPr>
        <xdr:cNvPr id="155" name="154 Conector recto"/>
        <xdr:cNvCxnSpPr/>
      </xdr:nvCxnSpPr>
      <xdr:spPr>
        <a:xfrm>
          <a:off x="11300637" y="33135153"/>
          <a:ext cx="2363" cy="223514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152400</xdr:colOff>
      <xdr:row>170</xdr:row>
      <xdr:rowOff>179916</xdr:rowOff>
    </xdr:from>
    <xdr:to>
      <xdr:col>13</xdr:col>
      <xdr:colOff>698499</xdr:colOff>
      <xdr:row>170</xdr:row>
      <xdr:rowOff>184150</xdr:rowOff>
    </xdr:to>
    <xdr:cxnSp macro="">
      <xdr:nvCxnSpPr>
        <xdr:cNvPr id="157" name="156 Conector recto"/>
        <xdr:cNvCxnSpPr/>
      </xdr:nvCxnSpPr>
      <xdr:spPr>
        <a:xfrm flipH="1">
          <a:off x="11571817" y="36724166"/>
          <a:ext cx="546099" cy="4234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10583</xdr:colOff>
      <xdr:row>283</xdr:row>
      <xdr:rowOff>31750</xdr:rowOff>
    </xdr:from>
    <xdr:to>
      <xdr:col>6</xdr:col>
      <xdr:colOff>21167</xdr:colOff>
      <xdr:row>288</xdr:row>
      <xdr:rowOff>0</xdr:rowOff>
    </xdr:to>
    <xdr:sp macro="" textlink="">
      <xdr:nvSpPr>
        <xdr:cNvPr id="161" name="160 Rectángulo"/>
        <xdr:cNvSpPr/>
      </xdr:nvSpPr>
      <xdr:spPr>
        <a:xfrm>
          <a:off x="2952750" y="41052750"/>
          <a:ext cx="1703917" cy="920750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645583</xdr:colOff>
      <xdr:row>284</xdr:row>
      <xdr:rowOff>179916</xdr:rowOff>
    </xdr:from>
    <xdr:to>
      <xdr:col>5</xdr:col>
      <xdr:colOff>289984</xdr:colOff>
      <xdr:row>286</xdr:row>
      <xdr:rowOff>14815</xdr:rowOff>
    </xdr:to>
    <xdr:sp macro="" textlink="">
      <xdr:nvSpPr>
        <xdr:cNvPr id="162" name="161 Rectángulo"/>
        <xdr:cNvSpPr/>
      </xdr:nvSpPr>
      <xdr:spPr>
        <a:xfrm>
          <a:off x="4053416" y="58610499"/>
          <a:ext cx="459318" cy="215899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264583</xdr:colOff>
      <xdr:row>283</xdr:row>
      <xdr:rowOff>116417</xdr:rowOff>
    </xdr:from>
    <xdr:to>
      <xdr:col>4</xdr:col>
      <xdr:colOff>275166</xdr:colOff>
      <xdr:row>287</xdr:row>
      <xdr:rowOff>95250</xdr:rowOff>
    </xdr:to>
    <xdr:cxnSp macro="">
      <xdr:nvCxnSpPr>
        <xdr:cNvPr id="164" name="163 Conector recto"/>
        <xdr:cNvCxnSpPr/>
      </xdr:nvCxnSpPr>
      <xdr:spPr>
        <a:xfrm flipH="1">
          <a:off x="3206750" y="41137417"/>
          <a:ext cx="10583" cy="740833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190500</xdr:colOff>
      <xdr:row>287</xdr:row>
      <xdr:rowOff>10583</xdr:rowOff>
    </xdr:from>
    <xdr:to>
      <xdr:col>5</xdr:col>
      <xdr:colOff>709085</xdr:colOff>
      <xdr:row>287</xdr:row>
      <xdr:rowOff>21167</xdr:rowOff>
    </xdr:to>
    <xdr:cxnSp macro="">
      <xdr:nvCxnSpPr>
        <xdr:cNvPr id="166" name="165 Conector recto"/>
        <xdr:cNvCxnSpPr/>
      </xdr:nvCxnSpPr>
      <xdr:spPr>
        <a:xfrm flipH="1" flipV="1">
          <a:off x="3132667" y="41793583"/>
          <a:ext cx="1333501" cy="10584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1270000</xdr:colOff>
      <xdr:row>194</xdr:row>
      <xdr:rowOff>105834</xdr:rowOff>
    </xdr:from>
    <xdr:to>
      <xdr:col>6</xdr:col>
      <xdr:colOff>1407584</xdr:colOff>
      <xdr:row>194</xdr:row>
      <xdr:rowOff>105834</xdr:rowOff>
    </xdr:to>
    <xdr:cxnSp macro="">
      <xdr:nvCxnSpPr>
        <xdr:cNvPr id="173" name="172 Conector recto"/>
        <xdr:cNvCxnSpPr/>
      </xdr:nvCxnSpPr>
      <xdr:spPr>
        <a:xfrm flipH="1">
          <a:off x="6498167" y="39803917"/>
          <a:ext cx="137584" cy="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46963</xdr:colOff>
      <xdr:row>197</xdr:row>
      <xdr:rowOff>181239</xdr:rowOff>
    </xdr:from>
    <xdr:to>
      <xdr:col>6</xdr:col>
      <xdr:colOff>142212</xdr:colOff>
      <xdr:row>198</xdr:row>
      <xdr:rowOff>149489</xdr:rowOff>
    </xdr:to>
    <xdr:cxnSp macro="">
      <xdr:nvCxnSpPr>
        <xdr:cNvPr id="175" name="174 Conector recto"/>
        <xdr:cNvCxnSpPr/>
      </xdr:nvCxnSpPr>
      <xdr:spPr>
        <a:xfrm flipH="1">
          <a:off x="5277776" y="40479927"/>
          <a:ext cx="95249" cy="15875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100145</xdr:colOff>
      <xdr:row>197</xdr:row>
      <xdr:rowOff>185473</xdr:rowOff>
    </xdr:from>
    <xdr:to>
      <xdr:col>6</xdr:col>
      <xdr:colOff>307578</xdr:colOff>
      <xdr:row>198</xdr:row>
      <xdr:rowOff>1323</xdr:rowOff>
    </xdr:to>
    <xdr:cxnSp macro="">
      <xdr:nvCxnSpPr>
        <xdr:cNvPr id="181" name="180 Conector recto"/>
        <xdr:cNvCxnSpPr/>
      </xdr:nvCxnSpPr>
      <xdr:spPr>
        <a:xfrm flipH="1" flipV="1">
          <a:off x="5326989" y="40517895"/>
          <a:ext cx="207433" cy="635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19843</xdr:colOff>
      <xdr:row>198</xdr:row>
      <xdr:rowOff>35718</xdr:rowOff>
    </xdr:from>
    <xdr:to>
      <xdr:col>6</xdr:col>
      <xdr:colOff>72759</xdr:colOff>
      <xdr:row>198</xdr:row>
      <xdr:rowOff>162719</xdr:rowOff>
    </xdr:to>
    <xdr:cxnSp macro="">
      <xdr:nvCxnSpPr>
        <xdr:cNvPr id="183" name="182 Conector recto"/>
        <xdr:cNvCxnSpPr/>
      </xdr:nvCxnSpPr>
      <xdr:spPr>
        <a:xfrm flipH="1" flipV="1">
          <a:off x="5250656" y="40524906"/>
          <a:ext cx="52916" cy="12700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1140618</xdr:colOff>
      <xdr:row>200</xdr:row>
      <xdr:rowOff>28707</xdr:rowOff>
    </xdr:from>
    <xdr:to>
      <xdr:col>8</xdr:col>
      <xdr:colOff>50534</xdr:colOff>
      <xdr:row>200</xdr:row>
      <xdr:rowOff>155708</xdr:rowOff>
    </xdr:to>
    <xdr:cxnSp macro="">
      <xdr:nvCxnSpPr>
        <xdr:cNvPr id="187" name="186 Conector recto"/>
        <xdr:cNvCxnSpPr/>
      </xdr:nvCxnSpPr>
      <xdr:spPr>
        <a:xfrm flipH="1" flipV="1">
          <a:off x="7879556" y="40932629"/>
          <a:ext cx="52916" cy="127001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41937</xdr:colOff>
      <xdr:row>199</xdr:row>
      <xdr:rowOff>181504</xdr:rowOff>
    </xdr:from>
    <xdr:to>
      <xdr:col>8</xdr:col>
      <xdr:colOff>137186</xdr:colOff>
      <xdr:row>200</xdr:row>
      <xdr:rowOff>149754</xdr:rowOff>
    </xdr:to>
    <xdr:cxnSp macro="">
      <xdr:nvCxnSpPr>
        <xdr:cNvPr id="188" name="187 Conector recto"/>
        <xdr:cNvCxnSpPr/>
      </xdr:nvCxnSpPr>
      <xdr:spPr>
        <a:xfrm flipH="1">
          <a:off x="7923875" y="40894926"/>
          <a:ext cx="95249" cy="158750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117610</xdr:colOff>
      <xdr:row>199</xdr:row>
      <xdr:rowOff>182431</xdr:rowOff>
    </xdr:from>
    <xdr:to>
      <xdr:col>8</xdr:col>
      <xdr:colOff>714508</xdr:colOff>
      <xdr:row>199</xdr:row>
      <xdr:rowOff>184547</xdr:rowOff>
    </xdr:to>
    <xdr:cxnSp macro="">
      <xdr:nvCxnSpPr>
        <xdr:cNvPr id="189" name="188 Conector recto"/>
        <xdr:cNvCxnSpPr/>
      </xdr:nvCxnSpPr>
      <xdr:spPr>
        <a:xfrm flipH="1" flipV="1">
          <a:off x="7999548" y="40895853"/>
          <a:ext cx="596898" cy="2116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8</xdr:col>
      <xdr:colOff>1358604</xdr:colOff>
      <xdr:row>199</xdr:row>
      <xdr:rowOff>183117</xdr:rowOff>
    </xdr:from>
    <xdr:ext cx="310117" cy="221511"/>
    <xdr:sp macro="" textlink="">
      <xdr:nvSpPr>
        <xdr:cNvPr id="191" name="190 CuadroTexto"/>
        <xdr:cNvSpPr txBox="1"/>
      </xdr:nvSpPr>
      <xdr:spPr>
        <a:xfrm>
          <a:off x="5994104" y="44061617"/>
          <a:ext cx="310117" cy="2215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s-PE" sz="1100"/>
            <a:t>x</a:t>
          </a:r>
        </a:p>
        <a:p>
          <a:endParaRPr lang="es-PE" sz="1100"/>
        </a:p>
      </xdr:txBody>
    </xdr:sp>
    <xdr:clientData/>
  </xdr:oneCellAnchor>
  <xdr:oneCellAnchor>
    <xdr:from>
      <xdr:col>9</xdr:col>
      <xdr:colOff>370915</xdr:colOff>
      <xdr:row>199</xdr:row>
      <xdr:rowOff>164861</xdr:rowOff>
    </xdr:from>
    <xdr:ext cx="310117" cy="221511"/>
    <xdr:sp macro="" textlink="">
      <xdr:nvSpPr>
        <xdr:cNvPr id="192" name="191 CuadroTexto"/>
        <xdr:cNvSpPr txBox="1"/>
      </xdr:nvSpPr>
      <xdr:spPr>
        <a:xfrm>
          <a:off x="9175587" y="40878283"/>
          <a:ext cx="310117" cy="2215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s-PE" sz="1100"/>
            <a:t>x</a:t>
          </a:r>
        </a:p>
        <a:p>
          <a:endParaRPr lang="es-PE" sz="1100"/>
        </a:p>
      </xdr:txBody>
    </xdr:sp>
    <xdr:clientData/>
  </xdr:oneCellAnchor>
  <xdr:oneCellAnchor>
    <xdr:from>
      <xdr:col>10</xdr:col>
      <xdr:colOff>290217</xdr:colOff>
      <xdr:row>199</xdr:row>
      <xdr:rowOff>152557</xdr:rowOff>
    </xdr:from>
    <xdr:ext cx="310117" cy="221511"/>
    <xdr:sp macro="" textlink="">
      <xdr:nvSpPr>
        <xdr:cNvPr id="193" name="192 CuadroTexto"/>
        <xdr:cNvSpPr txBox="1"/>
      </xdr:nvSpPr>
      <xdr:spPr>
        <a:xfrm>
          <a:off x="9719967" y="40803140"/>
          <a:ext cx="310117" cy="2215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s-PE" sz="1100"/>
            <a:t>x</a:t>
          </a:r>
        </a:p>
        <a:p>
          <a:endParaRPr lang="es-PE" sz="1100"/>
        </a:p>
      </xdr:txBody>
    </xdr:sp>
    <xdr:clientData/>
  </xdr:oneCellAnchor>
  <xdr:oneCellAnchor>
    <xdr:from>
      <xdr:col>7</xdr:col>
      <xdr:colOff>101304</xdr:colOff>
      <xdr:row>199</xdr:row>
      <xdr:rowOff>174651</xdr:rowOff>
    </xdr:from>
    <xdr:ext cx="310117" cy="221511"/>
    <xdr:sp macro="" textlink="">
      <xdr:nvSpPr>
        <xdr:cNvPr id="194" name="193 CuadroTexto"/>
        <xdr:cNvSpPr txBox="1"/>
      </xdr:nvSpPr>
      <xdr:spPr>
        <a:xfrm>
          <a:off x="3858387" y="44053151"/>
          <a:ext cx="310117" cy="2215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s-PE" sz="1100"/>
            <a:t>x</a:t>
          </a:r>
        </a:p>
        <a:p>
          <a:endParaRPr lang="es-PE" sz="1100"/>
        </a:p>
      </xdr:txBody>
    </xdr:sp>
    <xdr:clientData/>
  </xdr:oneCellAnchor>
  <xdr:twoCellAnchor>
    <xdr:from>
      <xdr:col>2</xdr:col>
      <xdr:colOff>783166</xdr:colOff>
      <xdr:row>95</xdr:row>
      <xdr:rowOff>105833</xdr:rowOff>
    </xdr:from>
    <xdr:to>
      <xdr:col>4</xdr:col>
      <xdr:colOff>0</xdr:colOff>
      <xdr:row>95</xdr:row>
      <xdr:rowOff>105833</xdr:rowOff>
    </xdr:to>
    <xdr:cxnSp macro="">
      <xdr:nvCxnSpPr>
        <xdr:cNvPr id="14" name="13 Conector recto"/>
        <xdr:cNvCxnSpPr/>
      </xdr:nvCxnSpPr>
      <xdr:spPr>
        <a:xfrm>
          <a:off x="2010833" y="21685250"/>
          <a:ext cx="931334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158750</xdr:colOff>
      <xdr:row>121</xdr:row>
      <xdr:rowOff>10584</xdr:rowOff>
    </xdr:from>
    <xdr:to>
      <xdr:col>6</xdr:col>
      <xdr:colOff>402167</xdr:colOff>
      <xdr:row>122</xdr:row>
      <xdr:rowOff>31751</xdr:rowOff>
    </xdr:to>
    <xdr:sp macro="" textlink="">
      <xdr:nvSpPr>
        <xdr:cNvPr id="16" name="15 Flecha derecha"/>
        <xdr:cNvSpPr/>
      </xdr:nvSpPr>
      <xdr:spPr>
        <a:xfrm>
          <a:off x="4921250" y="26797001"/>
          <a:ext cx="243417" cy="2222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1047751</xdr:colOff>
      <xdr:row>193</xdr:row>
      <xdr:rowOff>158750</xdr:rowOff>
    </xdr:from>
    <xdr:to>
      <xdr:col>9</xdr:col>
      <xdr:colOff>381001</xdr:colOff>
      <xdr:row>195</xdr:row>
      <xdr:rowOff>74084</xdr:rowOff>
    </xdr:to>
    <xdr:sp macro="" textlink="">
      <xdr:nvSpPr>
        <xdr:cNvPr id="25" name="24 Corchetes"/>
        <xdr:cNvSpPr/>
      </xdr:nvSpPr>
      <xdr:spPr>
        <a:xfrm>
          <a:off x="7789334" y="39666333"/>
          <a:ext cx="1397000" cy="296334"/>
        </a:xfrm>
        <a:prstGeom prst="bracketPair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0</xdr:colOff>
      <xdr:row>194</xdr:row>
      <xdr:rowOff>179917</xdr:rowOff>
    </xdr:from>
    <xdr:to>
      <xdr:col>1</xdr:col>
      <xdr:colOff>10583</xdr:colOff>
      <xdr:row>201</xdr:row>
      <xdr:rowOff>21167</xdr:rowOff>
    </xdr:to>
    <xdr:cxnSp macro="">
      <xdr:nvCxnSpPr>
        <xdr:cNvPr id="30" name="29 Conector recto"/>
        <xdr:cNvCxnSpPr/>
      </xdr:nvCxnSpPr>
      <xdr:spPr>
        <a:xfrm>
          <a:off x="465667" y="39878000"/>
          <a:ext cx="10583" cy="11747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501650</xdr:colOff>
      <xdr:row>194</xdr:row>
      <xdr:rowOff>184151</xdr:rowOff>
    </xdr:from>
    <xdr:to>
      <xdr:col>3</xdr:col>
      <xdr:colOff>512233</xdr:colOff>
      <xdr:row>201</xdr:row>
      <xdr:rowOff>25401</xdr:rowOff>
    </xdr:to>
    <xdr:cxnSp macro="">
      <xdr:nvCxnSpPr>
        <xdr:cNvPr id="134" name="133 Conector recto"/>
        <xdr:cNvCxnSpPr/>
      </xdr:nvCxnSpPr>
      <xdr:spPr>
        <a:xfrm>
          <a:off x="3020483" y="39882234"/>
          <a:ext cx="10583" cy="11747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194</xdr:row>
      <xdr:rowOff>179917</xdr:rowOff>
    </xdr:from>
    <xdr:to>
      <xdr:col>3</xdr:col>
      <xdr:colOff>508000</xdr:colOff>
      <xdr:row>194</xdr:row>
      <xdr:rowOff>179917</xdr:rowOff>
    </xdr:to>
    <xdr:cxnSp macro="">
      <xdr:nvCxnSpPr>
        <xdr:cNvPr id="136" name="135 Conector recto"/>
        <xdr:cNvCxnSpPr/>
      </xdr:nvCxnSpPr>
      <xdr:spPr>
        <a:xfrm>
          <a:off x="465667" y="39878000"/>
          <a:ext cx="256116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25400</xdr:colOff>
      <xdr:row>201</xdr:row>
      <xdr:rowOff>14817</xdr:rowOff>
    </xdr:from>
    <xdr:to>
      <xdr:col>3</xdr:col>
      <xdr:colOff>533400</xdr:colOff>
      <xdr:row>201</xdr:row>
      <xdr:rowOff>14817</xdr:rowOff>
    </xdr:to>
    <xdr:cxnSp macro="">
      <xdr:nvCxnSpPr>
        <xdr:cNvPr id="137" name="136 Conector recto"/>
        <xdr:cNvCxnSpPr/>
      </xdr:nvCxnSpPr>
      <xdr:spPr>
        <a:xfrm>
          <a:off x="491067" y="41046400"/>
          <a:ext cx="256116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1121833</xdr:colOff>
      <xdr:row>197</xdr:row>
      <xdr:rowOff>42334</xdr:rowOff>
    </xdr:from>
    <xdr:to>
      <xdr:col>2</xdr:col>
      <xdr:colOff>232834</xdr:colOff>
      <xdr:row>197</xdr:row>
      <xdr:rowOff>179917</xdr:rowOff>
    </xdr:to>
    <xdr:sp macro="" textlink="">
      <xdr:nvSpPr>
        <xdr:cNvPr id="103" name="102 Rectángulo"/>
        <xdr:cNvSpPr/>
      </xdr:nvSpPr>
      <xdr:spPr>
        <a:xfrm>
          <a:off x="1587500" y="40311917"/>
          <a:ext cx="338667" cy="137583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846666</xdr:colOff>
      <xdr:row>199</xdr:row>
      <xdr:rowOff>0</xdr:rowOff>
    </xdr:from>
    <xdr:to>
      <xdr:col>1</xdr:col>
      <xdr:colOff>1079500</xdr:colOff>
      <xdr:row>199</xdr:row>
      <xdr:rowOff>10583</xdr:rowOff>
    </xdr:to>
    <xdr:cxnSp macro="">
      <xdr:nvCxnSpPr>
        <xdr:cNvPr id="142" name="141 Conector recto"/>
        <xdr:cNvCxnSpPr/>
      </xdr:nvCxnSpPr>
      <xdr:spPr>
        <a:xfrm flipV="1">
          <a:off x="1312333" y="40650583"/>
          <a:ext cx="232834" cy="10583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1115483</xdr:colOff>
      <xdr:row>199</xdr:row>
      <xdr:rowOff>4234</xdr:rowOff>
    </xdr:from>
    <xdr:to>
      <xdr:col>2</xdr:col>
      <xdr:colOff>120651</xdr:colOff>
      <xdr:row>199</xdr:row>
      <xdr:rowOff>14817</xdr:rowOff>
    </xdr:to>
    <xdr:cxnSp macro="">
      <xdr:nvCxnSpPr>
        <xdr:cNvPr id="144" name="143 Conector recto"/>
        <xdr:cNvCxnSpPr/>
      </xdr:nvCxnSpPr>
      <xdr:spPr>
        <a:xfrm flipV="1">
          <a:off x="1581150" y="40654817"/>
          <a:ext cx="232834" cy="10583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198967</xdr:colOff>
      <xdr:row>198</xdr:row>
      <xdr:rowOff>188384</xdr:rowOff>
    </xdr:from>
    <xdr:to>
      <xdr:col>2</xdr:col>
      <xdr:colOff>431801</xdr:colOff>
      <xdr:row>199</xdr:row>
      <xdr:rowOff>8467</xdr:rowOff>
    </xdr:to>
    <xdr:cxnSp macro="">
      <xdr:nvCxnSpPr>
        <xdr:cNvPr id="146" name="145 Conector recto"/>
        <xdr:cNvCxnSpPr/>
      </xdr:nvCxnSpPr>
      <xdr:spPr>
        <a:xfrm flipV="1">
          <a:off x="1892300" y="40648467"/>
          <a:ext cx="232834" cy="10583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787400</xdr:colOff>
      <xdr:row>196</xdr:row>
      <xdr:rowOff>4234</xdr:rowOff>
    </xdr:from>
    <xdr:to>
      <xdr:col>1</xdr:col>
      <xdr:colOff>793750</xdr:colOff>
      <xdr:row>196</xdr:row>
      <xdr:rowOff>158750</xdr:rowOff>
    </xdr:to>
    <xdr:cxnSp macro="">
      <xdr:nvCxnSpPr>
        <xdr:cNvPr id="148" name="147 Conector recto"/>
        <xdr:cNvCxnSpPr/>
      </xdr:nvCxnSpPr>
      <xdr:spPr>
        <a:xfrm>
          <a:off x="1253067" y="40083317"/>
          <a:ext cx="6350" cy="154516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791634</xdr:colOff>
      <xdr:row>197</xdr:row>
      <xdr:rowOff>29634</xdr:rowOff>
    </xdr:from>
    <xdr:to>
      <xdr:col>1</xdr:col>
      <xdr:colOff>797984</xdr:colOff>
      <xdr:row>197</xdr:row>
      <xdr:rowOff>184150</xdr:rowOff>
    </xdr:to>
    <xdr:cxnSp macro="">
      <xdr:nvCxnSpPr>
        <xdr:cNvPr id="150" name="149 Conector recto"/>
        <xdr:cNvCxnSpPr/>
      </xdr:nvCxnSpPr>
      <xdr:spPr>
        <a:xfrm>
          <a:off x="1257301" y="40299217"/>
          <a:ext cx="6350" cy="154516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806451</xdr:colOff>
      <xdr:row>198</xdr:row>
      <xdr:rowOff>23284</xdr:rowOff>
    </xdr:from>
    <xdr:to>
      <xdr:col>1</xdr:col>
      <xdr:colOff>812801</xdr:colOff>
      <xdr:row>198</xdr:row>
      <xdr:rowOff>177800</xdr:rowOff>
    </xdr:to>
    <xdr:cxnSp macro="">
      <xdr:nvCxnSpPr>
        <xdr:cNvPr id="154" name="153 Conector recto"/>
        <xdr:cNvCxnSpPr/>
      </xdr:nvCxnSpPr>
      <xdr:spPr>
        <a:xfrm>
          <a:off x="1272118" y="40483367"/>
          <a:ext cx="6350" cy="154516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516467</xdr:colOff>
      <xdr:row>196</xdr:row>
      <xdr:rowOff>40217</xdr:rowOff>
    </xdr:from>
    <xdr:to>
      <xdr:col>2</xdr:col>
      <xdr:colOff>522817</xdr:colOff>
      <xdr:row>197</xdr:row>
      <xdr:rowOff>4233</xdr:rowOff>
    </xdr:to>
    <xdr:cxnSp macro="">
      <xdr:nvCxnSpPr>
        <xdr:cNvPr id="156" name="155 Conector recto"/>
        <xdr:cNvCxnSpPr/>
      </xdr:nvCxnSpPr>
      <xdr:spPr>
        <a:xfrm>
          <a:off x="2209800" y="40119300"/>
          <a:ext cx="6350" cy="154516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531283</xdr:colOff>
      <xdr:row>197</xdr:row>
      <xdr:rowOff>44450</xdr:rowOff>
    </xdr:from>
    <xdr:to>
      <xdr:col>2</xdr:col>
      <xdr:colOff>537633</xdr:colOff>
      <xdr:row>198</xdr:row>
      <xdr:rowOff>8466</xdr:rowOff>
    </xdr:to>
    <xdr:cxnSp macro="">
      <xdr:nvCxnSpPr>
        <xdr:cNvPr id="158" name="157 Conector recto"/>
        <xdr:cNvCxnSpPr/>
      </xdr:nvCxnSpPr>
      <xdr:spPr>
        <a:xfrm>
          <a:off x="2224616" y="40314033"/>
          <a:ext cx="6350" cy="154516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535516</xdr:colOff>
      <xdr:row>198</xdr:row>
      <xdr:rowOff>38100</xdr:rowOff>
    </xdr:from>
    <xdr:to>
      <xdr:col>2</xdr:col>
      <xdr:colOff>541866</xdr:colOff>
      <xdr:row>199</xdr:row>
      <xdr:rowOff>2116</xdr:rowOff>
    </xdr:to>
    <xdr:cxnSp macro="">
      <xdr:nvCxnSpPr>
        <xdr:cNvPr id="163" name="162 Conector recto"/>
        <xdr:cNvCxnSpPr/>
      </xdr:nvCxnSpPr>
      <xdr:spPr>
        <a:xfrm>
          <a:off x="2228849" y="40498183"/>
          <a:ext cx="6350" cy="154516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829733</xdr:colOff>
      <xdr:row>196</xdr:row>
      <xdr:rowOff>4233</xdr:rowOff>
    </xdr:from>
    <xdr:to>
      <xdr:col>1</xdr:col>
      <xdr:colOff>1062567</xdr:colOff>
      <xdr:row>196</xdr:row>
      <xdr:rowOff>14816</xdr:rowOff>
    </xdr:to>
    <xdr:cxnSp macro="">
      <xdr:nvCxnSpPr>
        <xdr:cNvPr id="165" name="164 Conector recto"/>
        <xdr:cNvCxnSpPr/>
      </xdr:nvCxnSpPr>
      <xdr:spPr>
        <a:xfrm flipV="1">
          <a:off x="1295400" y="40083316"/>
          <a:ext cx="232834" cy="10583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1098549</xdr:colOff>
      <xdr:row>195</xdr:row>
      <xdr:rowOff>188383</xdr:rowOff>
    </xdr:from>
    <xdr:to>
      <xdr:col>2</xdr:col>
      <xdr:colOff>103717</xdr:colOff>
      <xdr:row>196</xdr:row>
      <xdr:rowOff>8466</xdr:rowOff>
    </xdr:to>
    <xdr:cxnSp macro="">
      <xdr:nvCxnSpPr>
        <xdr:cNvPr id="167" name="166 Conector recto"/>
        <xdr:cNvCxnSpPr/>
      </xdr:nvCxnSpPr>
      <xdr:spPr>
        <a:xfrm flipV="1">
          <a:off x="1564216" y="40076966"/>
          <a:ext cx="232834" cy="10583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234950</xdr:colOff>
      <xdr:row>195</xdr:row>
      <xdr:rowOff>182033</xdr:rowOff>
    </xdr:from>
    <xdr:to>
      <xdr:col>2</xdr:col>
      <xdr:colOff>467784</xdr:colOff>
      <xdr:row>196</xdr:row>
      <xdr:rowOff>2116</xdr:rowOff>
    </xdr:to>
    <xdr:cxnSp macro="">
      <xdr:nvCxnSpPr>
        <xdr:cNvPr id="168" name="167 Conector recto"/>
        <xdr:cNvCxnSpPr/>
      </xdr:nvCxnSpPr>
      <xdr:spPr>
        <a:xfrm flipV="1">
          <a:off x="1928283" y="40070616"/>
          <a:ext cx="232834" cy="10583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825499</xdr:colOff>
      <xdr:row>201</xdr:row>
      <xdr:rowOff>105834</xdr:rowOff>
    </xdr:from>
    <xdr:to>
      <xdr:col>2</xdr:col>
      <xdr:colOff>582083</xdr:colOff>
      <xdr:row>201</xdr:row>
      <xdr:rowOff>105834</xdr:rowOff>
    </xdr:to>
    <xdr:cxnSp macro="">
      <xdr:nvCxnSpPr>
        <xdr:cNvPr id="170" name="169 Conector recto"/>
        <xdr:cNvCxnSpPr/>
      </xdr:nvCxnSpPr>
      <xdr:spPr>
        <a:xfrm>
          <a:off x="1291166" y="41137417"/>
          <a:ext cx="9842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751417</xdr:colOff>
      <xdr:row>201</xdr:row>
      <xdr:rowOff>35984</xdr:rowOff>
    </xdr:from>
    <xdr:to>
      <xdr:col>1</xdr:col>
      <xdr:colOff>850900</xdr:colOff>
      <xdr:row>201</xdr:row>
      <xdr:rowOff>179917</xdr:rowOff>
    </xdr:to>
    <xdr:cxnSp macro="">
      <xdr:nvCxnSpPr>
        <xdr:cNvPr id="174" name="173 Conector recto"/>
        <xdr:cNvCxnSpPr/>
      </xdr:nvCxnSpPr>
      <xdr:spPr>
        <a:xfrm flipH="1">
          <a:off x="1217084" y="41067567"/>
          <a:ext cx="99483" cy="14393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512235</xdr:colOff>
      <xdr:row>201</xdr:row>
      <xdr:rowOff>50801</xdr:rowOff>
    </xdr:from>
    <xdr:to>
      <xdr:col>2</xdr:col>
      <xdr:colOff>611718</xdr:colOff>
      <xdr:row>202</xdr:row>
      <xdr:rowOff>4234</xdr:rowOff>
    </xdr:to>
    <xdr:cxnSp macro="">
      <xdr:nvCxnSpPr>
        <xdr:cNvPr id="177" name="176 Conector recto"/>
        <xdr:cNvCxnSpPr/>
      </xdr:nvCxnSpPr>
      <xdr:spPr>
        <a:xfrm flipH="1">
          <a:off x="2205568" y="41082384"/>
          <a:ext cx="99483" cy="14393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607483</xdr:colOff>
      <xdr:row>196</xdr:row>
      <xdr:rowOff>14818</xdr:rowOff>
    </xdr:from>
    <xdr:to>
      <xdr:col>3</xdr:col>
      <xdr:colOff>613834</xdr:colOff>
      <xdr:row>199</xdr:row>
      <xdr:rowOff>42334</xdr:rowOff>
    </xdr:to>
    <xdr:cxnSp macro="">
      <xdr:nvCxnSpPr>
        <xdr:cNvPr id="178" name="177 Conector recto"/>
        <xdr:cNvCxnSpPr/>
      </xdr:nvCxnSpPr>
      <xdr:spPr>
        <a:xfrm>
          <a:off x="3126316" y="40093901"/>
          <a:ext cx="6351" cy="59901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558802</xdr:colOff>
      <xdr:row>198</xdr:row>
      <xdr:rowOff>160868</xdr:rowOff>
    </xdr:from>
    <xdr:to>
      <xdr:col>3</xdr:col>
      <xdr:colOff>658285</xdr:colOff>
      <xdr:row>199</xdr:row>
      <xdr:rowOff>114301</xdr:rowOff>
    </xdr:to>
    <xdr:cxnSp macro="">
      <xdr:nvCxnSpPr>
        <xdr:cNvPr id="180" name="179 Conector recto"/>
        <xdr:cNvCxnSpPr/>
      </xdr:nvCxnSpPr>
      <xdr:spPr>
        <a:xfrm flipH="1">
          <a:off x="3077635" y="40620951"/>
          <a:ext cx="99483" cy="14393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573619</xdr:colOff>
      <xdr:row>195</xdr:row>
      <xdr:rowOff>112185</xdr:rowOff>
    </xdr:from>
    <xdr:to>
      <xdr:col>3</xdr:col>
      <xdr:colOff>673102</xdr:colOff>
      <xdr:row>196</xdr:row>
      <xdr:rowOff>65618</xdr:rowOff>
    </xdr:to>
    <xdr:cxnSp macro="">
      <xdr:nvCxnSpPr>
        <xdr:cNvPr id="182" name="181 Conector recto"/>
        <xdr:cNvCxnSpPr/>
      </xdr:nvCxnSpPr>
      <xdr:spPr>
        <a:xfrm flipH="1">
          <a:off x="3092452" y="40000768"/>
          <a:ext cx="99483" cy="14393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645584</xdr:colOff>
      <xdr:row>177</xdr:row>
      <xdr:rowOff>63500</xdr:rowOff>
    </xdr:from>
    <xdr:to>
      <xdr:col>3</xdr:col>
      <xdr:colOff>656167</xdr:colOff>
      <xdr:row>180</xdr:row>
      <xdr:rowOff>127000</xdr:rowOff>
    </xdr:to>
    <xdr:cxnSp macro="">
      <xdr:nvCxnSpPr>
        <xdr:cNvPr id="190" name="189 Conector recto de flecha"/>
        <xdr:cNvCxnSpPr/>
      </xdr:nvCxnSpPr>
      <xdr:spPr>
        <a:xfrm flipH="1" flipV="1">
          <a:off x="4053417" y="38047083"/>
          <a:ext cx="10583" cy="635000"/>
        </a:xfrm>
        <a:prstGeom prst="straightConnector1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10584</xdr:colOff>
      <xdr:row>179</xdr:row>
      <xdr:rowOff>52917</xdr:rowOff>
    </xdr:from>
    <xdr:to>
      <xdr:col>4</xdr:col>
      <xdr:colOff>878417</xdr:colOff>
      <xdr:row>179</xdr:row>
      <xdr:rowOff>52917</xdr:rowOff>
    </xdr:to>
    <xdr:cxnSp macro="">
      <xdr:nvCxnSpPr>
        <xdr:cNvPr id="197" name="196 Conector recto"/>
        <xdr:cNvCxnSpPr/>
      </xdr:nvCxnSpPr>
      <xdr:spPr>
        <a:xfrm>
          <a:off x="2529417" y="38417500"/>
          <a:ext cx="25717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71439</xdr:colOff>
      <xdr:row>179</xdr:row>
      <xdr:rowOff>51593</xdr:rowOff>
    </xdr:from>
    <xdr:to>
      <xdr:col>5</xdr:col>
      <xdr:colOff>240189</xdr:colOff>
      <xdr:row>181</xdr:row>
      <xdr:rowOff>41010</xdr:rowOff>
    </xdr:to>
    <xdr:sp macro="" textlink="">
      <xdr:nvSpPr>
        <xdr:cNvPr id="199" name="198 Cerrar llave"/>
        <xdr:cNvSpPr/>
      </xdr:nvSpPr>
      <xdr:spPr>
        <a:xfrm>
          <a:off x="4298158" y="38437343"/>
          <a:ext cx="168750" cy="394230"/>
        </a:xfrm>
        <a:prstGeom prst="righ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179917</xdr:colOff>
      <xdr:row>179</xdr:row>
      <xdr:rowOff>169332</xdr:rowOff>
    </xdr:from>
    <xdr:to>
      <xdr:col>3</xdr:col>
      <xdr:colOff>624419</xdr:colOff>
      <xdr:row>181</xdr:row>
      <xdr:rowOff>116416</xdr:rowOff>
    </xdr:to>
    <xdr:cxnSp macro="">
      <xdr:nvCxnSpPr>
        <xdr:cNvPr id="201" name="200 Conector angular"/>
        <xdr:cNvCxnSpPr/>
      </xdr:nvCxnSpPr>
      <xdr:spPr>
        <a:xfrm rot="10800000" flipV="1">
          <a:off x="3587750" y="38533915"/>
          <a:ext cx="444502" cy="349251"/>
        </a:xfrm>
        <a:prstGeom prst="bentConnector3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1214437</xdr:colOff>
      <xdr:row>182</xdr:row>
      <xdr:rowOff>297656</xdr:rowOff>
    </xdr:from>
    <xdr:to>
      <xdr:col>5</xdr:col>
      <xdr:colOff>794</xdr:colOff>
      <xdr:row>182</xdr:row>
      <xdr:rowOff>300567</xdr:rowOff>
    </xdr:to>
    <xdr:cxnSp macro="">
      <xdr:nvCxnSpPr>
        <xdr:cNvPr id="203" name="202 Conector recto"/>
        <xdr:cNvCxnSpPr/>
      </xdr:nvCxnSpPr>
      <xdr:spPr>
        <a:xfrm>
          <a:off x="1678781" y="39278719"/>
          <a:ext cx="2548732" cy="291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1214437</xdr:colOff>
      <xdr:row>182</xdr:row>
      <xdr:rowOff>35718</xdr:rowOff>
    </xdr:from>
    <xdr:to>
      <xdr:col>3</xdr:col>
      <xdr:colOff>645584</xdr:colOff>
      <xdr:row>182</xdr:row>
      <xdr:rowOff>42333</xdr:rowOff>
    </xdr:to>
    <xdr:cxnSp macro="">
      <xdr:nvCxnSpPr>
        <xdr:cNvPr id="204" name="203 Conector recto"/>
        <xdr:cNvCxnSpPr/>
      </xdr:nvCxnSpPr>
      <xdr:spPr>
        <a:xfrm>
          <a:off x="1678781" y="39016781"/>
          <a:ext cx="1490928" cy="661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1178719</xdr:colOff>
      <xdr:row>181</xdr:row>
      <xdr:rowOff>143935</xdr:rowOff>
    </xdr:from>
    <xdr:to>
      <xdr:col>2</xdr:col>
      <xdr:colOff>38103</xdr:colOff>
      <xdr:row>182</xdr:row>
      <xdr:rowOff>59531</xdr:rowOff>
    </xdr:to>
    <xdr:cxnSp macro="">
      <xdr:nvCxnSpPr>
        <xdr:cNvPr id="206" name="205 Conector recto"/>
        <xdr:cNvCxnSpPr/>
      </xdr:nvCxnSpPr>
      <xdr:spPr>
        <a:xfrm flipH="1">
          <a:off x="1643063" y="38934498"/>
          <a:ext cx="85728" cy="10609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620185</xdr:colOff>
      <xdr:row>181</xdr:row>
      <xdr:rowOff>148168</xdr:rowOff>
    </xdr:from>
    <xdr:to>
      <xdr:col>3</xdr:col>
      <xdr:colOff>719668</xdr:colOff>
      <xdr:row>182</xdr:row>
      <xdr:rowOff>101601</xdr:rowOff>
    </xdr:to>
    <xdr:cxnSp macro="">
      <xdr:nvCxnSpPr>
        <xdr:cNvPr id="207" name="206 Conector recto"/>
        <xdr:cNvCxnSpPr/>
      </xdr:nvCxnSpPr>
      <xdr:spPr>
        <a:xfrm flipH="1">
          <a:off x="4028018" y="38914918"/>
          <a:ext cx="99483" cy="14393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1131094</xdr:colOff>
      <xdr:row>182</xdr:row>
      <xdr:rowOff>237068</xdr:rowOff>
    </xdr:from>
    <xdr:to>
      <xdr:col>2</xdr:col>
      <xdr:colOff>35986</xdr:colOff>
      <xdr:row>183</xdr:row>
      <xdr:rowOff>35719</xdr:rowOff>
    </xdr:to>
    <xdr:cxnSp macro="">
      <xdr:nvCxnSpPr>
        <xdr:cNvPr id="208" name="207 Conector recto"/>
        <xdr:cNvCxnSpPr/>
      </xdr:nvCxnSpPr>
      <xdr:spPr>
        <a:xfrm flipH="1">
          <a:off x="1595438" y="39218131"/>
          <a:ext cx="131236" cy="12011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797986</xdr:colOff>
      <xdr:row>182</xdr:row>
      <xdr:rowOff>220134</xdr:rowOff>
    </xdr:from>
    <xdr:to>
      <xdr:col>4</xdr:col>
      <xdr:colOff>897469</xdr:colOff>
      <xdr:row>183</xdr:row>
      <xdr:rowOff>35984</xdr:rowOff>
    </xdr:to>
    <xdr:cxnSp macro="">
      <xdr:nvCxnSpPr>
        <xdr:cNvPr id="209" name="208 Conector recto"/>
        <xdr:cNvCxnSpPr/>
      </xdr:nvCxnSpPr>
      <xdr:spPr>
        <a:xfrm flipH="1">
          <a:off x="5020736" y="39177384"/>
          <a:ext cx="99483" cy="14393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666750</xdr:colOff>
      <xdr:row>177</xdr:row>
      <xdr:rowOff>116417</xdr:rowOff>
    </xdr:from>
    <xdr:to>
      <xdr:col>4</xdr:col>
      <xdr:colOff>994833</xdr:colOff>
      <xdr:row>178</xdr:row>
      <xdr:rowOff>105834</xdr:rowOff>
    </xdr:to>
    <xdr:cxnSp macro="">
      <xdr:nvCxnSpPr>
        <xdr:cNvPr id="210" name="209 Conector angular"/>
        <xdr:cNvCxnSpPr/>
      </xdr:nvCxnSpPr>
      <xdr:spPr>
        <a:xfrm flipV="1">
          <a:off x="4074583" y="38100000"/>
          <a:ext cx="1143000" cy="190501"/>
        </a:xfrm>
        <a:prstGeom prst="bentConnector3">
          <a:avLst/>
        </a:prstGeom>
        <a:ln>
          <a:tailEnd type="arrow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158751</xdr:colOff>
      <xdr:row>184</xdr:row>
      <xdr:rowOff>169333</xdr:rowOff>
    </xdr:from>
    <xdr:to>
      <xdr:col>2</xdr:col>
      <xdr:colOff>804334</xdr:colOff>
      <xdr:row>184</xdr:row>
      <xdr:rowOff>169333</xdr:rowOff>
    </xdr:to>
    <xdr:cxnSp macro="">
      <xdr:nvCxnSpPr>
        <xdr:cNvPr id="214" name="213 Conector recto"/>
        <xdr:cNvCxnSpPr/>
      </xdr:nvCxnSpPr>
      <xdr:spPr>
        <a:xfrm>
          <a:off x="2677584" y="39655750"/>
          <a:ext cx="64558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381000</xdr:colOff>
      <xdr:row>210</xdr:row>
      <xdr:rowOff>42334</xdr:rowOff>
    </xdr:from>
    <xdr:to>
      <xdr:col>5</xdr:col>
      <xdr:colOff>10583</xdr:colOff>
      <xdr:row>210</xdr:row>
      <xdr:rowOff>127001</xdr:rowOff>
    </xdr:to>
    <xdr:sp macro="" textlink="">
      <xdr:nvSpPr>
        <xdr:cNvPr id="216" name="215 Corchetes"/>
        <xdr:cNvSpPr/>
      </xdr:nvSpPr>
      <xdr:spPr>
        <a:xfrm>
          <a:off x="3788833" y="44492334"/>
          <a:ext cx="444500" cy="84667"/>
        </a:xfrm>
        <a:prstGeom prst="bracketPair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391583</xdr:colOff>
      <xdr:row>210</xdr:row>
      <xdr:rowOff>179917</xdr:rowOff>
    </xdr:from>
    <xdr:to>
      <xdr:col>5</xdr:col>
      <xdr:colOff>539750</xdr:colOff>
      <xdr:row>210</xdr:row>
      <xdr:rowOff>179917</xdr:rowOff>
    </xdr:to>
    <xdr:cxnSp macro="">
      <xdr:nvCxnSpPr>
        <xdr:cNvPr id="217" name="216 Conector recto"/>
        <xdr:cNvCxnSpPr/>
      </xdr:nvCxnSpPr>
      <xdr:spPr>
        <a:xfrm>
          <a:off x="4614333" y="44629917"/>
          <a:ext cx="148167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825500</xdr:colOff>
      <xdr:row>210</xdr:row>
      <xdr:rowOff>184151</xdr:rowOff>
    </xdr:from>
    <xdr:to>
      <xdr:col>7</xdr:col>
      <xdr:colOff>1073151</xdr:colOff>
      <xdr:row>211</xdr:row>
      <xdr:rowOff>0</xdr:rowOff>
    </xdr:to>
    <xdr:cxnSp macro="">
      <xdr:nvCxnSpPr>
        <xdr:cNvPr id="219" name="218 Conector recto"/>
        <xdr:cNvCxnSpPr/>
      </xdr:nvCxnSpPr>
      <xdr:spPr>
        <a:xfrm flipV="1">
          <a:off x="7567083" y="44634151"/>
          <a:ext cx="247651" cy="6349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222251</xdr:colOff>
      <xdr:row>214</xdr:row>
      <xdr:rowOff>21166</xdr:rowOff>
    </xdr:from>
    <xdr:to>
      <xdr:col>3</xdr:col>
      <xdr:colOff>267970</xdr:colOff>
      <xdr:row>218</xdr:row>
      <xdr:rowOff>10583</xdr:rowOff>
    </xdr:to>
    <xdr:sp macro="" textlink="">
      <xdr:nvSpPr>
        <xdr:cNvPr id="221" name="220 Cerrar llave"/>
        <xdr:cNvSpPr/>
      </xdr:nvSpPr>
      <xdr:spPr>
        <a:xfrm>
          <a:off x="2741084" y="45042666"/>
          <a:ext cx="45719" cy="751417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2</xdr:col>
      <xdr:colOff>497417</xdr:colOff>
      <xdr:row>219</xdr:row>
      <xdr:rowOff>126444</xdr:rowOff>
    </xdr:from>
    <xdr:to>
      <xdr:col>6</xdr:col>
      <xdr:colOff>158749</xdr:colOff>
      <xdr:row>221</xdr:row>
      <xdr:rowOff>158749</xdr:rowOff>
    </xdr:to>
    <xdr:pic>
      <xdr:nvPicPr>
        <xdr:cNvPr id="222" name="22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078" t="33858" r="19300" b="57460"/>
        <a:stretch/>
      </xdr:blipFill>
      <xdr:spPr>
        <a:xfrm>
          <a:off x="2190750" y="46290944"/>
          <a:ext cx="3196166" cy="413305"/>
        </a:xfrm>
        <a:prstGeom prst="rect">
          <a:avLst/>
        </a:prstGeom>
      </xdr:spPr>
    </xdr:pic>
    <xdr:clientData/>
  </xdr:twoCellAnchor>
  <xdr:twoCellAnchor>
    <xdr:from>
      <xdr:col>5</xdr:col>
      <xdr:colOff>264583</xdr:colOff>
      <xdr:row>223</xdr:row>
      <xdr:rowOff>31750</xdr:rowOff>
    </xdr:from>
    <xdr:to>
      <xdr:col>5</xdr:col>
      <xdr:colOff>571500</xdr:colOff>
      <xdr:row>224</xdr:row>
      <xdr:rowOff>0</xdr:rowOff>
    </xdr:to>
    <xdr:sp macro="" textlink="">
      <xdr:nvSpPr>
        <xdr:cNvPr id="223" name="222 Corchetes"/>
        <xdr:cNvSpPr/>
      </xdr:nvSpPr>
      <xdr:spPr>
        <a:xfrm>
          <a:off x="4487333" y="46958250"/>
          <a:ext cx="306917" cy="158750"/>
        </a:xfrm>
        <a:prstGeom prst="bracketPair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857251</xdr:colOff>
      <xdr:row>224</xdr:row>
      <xdr:rowOff>201083</xdr:rowOff>
    </xdr:from>
    <xdr:to>
      <xdr:col>4</xdr:col>
      <xdr:colOff>127001</xdr:colOff>
      <xdr:row>225</xdr:row>
      <xdr:rowOff>63501</xdr:rowOff>
    </xdr:to>
    <xdr:pic>
      <xdr:nvPicPr>
        <xdr:cNvPr id="224" name="223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005" t="49340" r="64775" b="48489"/>
        <a:stretch/>
      </xdr:blipFill>
      <xdr:spPr>
        <a:xfrm>
          <a:off x="3376084" y="47328666"/>
          <a:ext cx="158750" cy="158751"/>
        </a:xfrm>
        <a:prstGeom prst="rect">
          <a:avLst/>
        </a:prstGeom>
      </xdr:spPr>
    </xdr:pic>
    <xdr:clientData/>
  </xdr:twoCellAnchor>
  <xdr:twoCellAnchor editAs="oneCell">
    <xdr:from>
      <xdr:col>2</xdr:col>
      <xdr:colOff>469901</xdr:colOff>
      <xdr:row>227</xdr:row>
      <xdr:rowOff>35982</xdr:rowOff>
    </xdr:from>
    <xdr:to>
      <xdr:col>2</xdr:col>
      <xdr:colOff>628651</xdr:colOff>
      <xdr:row>228</xdr:row>
      <xdr:rowOff>4233</xdr:rowOff>
    </xdr:to>
    <xdr:pic>
      <xdr:nvPicPr>
        <xdr:cNvPr id="225" name="224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005" t="49340" r="64775" b="48489"/>
        <a:stretch/>
      </xdr:blipFill>
      <xdr:spPr>
        <a:xfrm>
          <a:off x="2163234" y="47840899"/>
          <a:ext cx="158750" cy="158751"/>
        </a:xfrm>
        <a:prstGeom prst="rect">
          <a:avLst/>
        </a:prstGeom>
      </xdr:spPr>
    </xdr:pic>
    <xdr:clientData/>
  </xdr:twoCellAnchor>
  <xdr:oneCellAnchor>
    <xdr:from>
      <xdr:col>2</xdr:col>
      <xdr:colOff>137585</xdr:colOff>
      <xdr:row>231</xdr:row>
      <xdr:rowOff>135604</xdr:rowOff>
    </xdr:from>
    <xdr:ext cx="3069166" cy="647564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6" name="225 CuadroTexto"/>
            <xdr:cNvSpPr txBox="1"/>
          </xdr:nvSpPr>
          <xdr:spPr>
            <a:xfrm>
              <a:off x="1830918" y="48702521"/>
              <a:ext cx="3069166" cy="647564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PE" sz="1400" b="0" i="1">
                        <a:latin typeface="Cambria Math"/>
                      </a:rPr>
                      <m:t>𝑊</m:t>
                    </m:r>
                    <m:r>
                      <a:rPr lang="es-PE" sz="1400" i="1">
                        <a:latin typeface="Cambria Math"/>
                      </a:rPr>
                      <m:t>=</m:t>
                    </m:r>
                    <m:f>
                      <m:fPr>
                        <m:ctrlPr>
                          <a:rPr lang="es-PE" sz="1400" i="1">
                            <a:latin typeface="Cambria Math"/>
                          </a:rPr>
                        </m:ctrlPr>
                      </m:fPr>
                      <m:num>
                        <m:r>
                          <a:rPr lang="es-PE" sz="1400" i="1">
                            <a:latin typeface="Cambria Math"/>
                          </a:rPr>
                          <m:t>−</m:t>
                        </m:r>
                        <m:r>
                          <a:rPr lang="es-PE" sz="1400" i="1">
                            <a:latin typeface="Cambria Math"/>
                          </a:rPr>
                          <m:t>𝑏</m:t>
                        </m:r>
                        <m:r>
                          <a:rPr lang="es-PE" sz="1400" i="1">
                            <a:latin typeface="Cambria Math"/>
                          </a:rPr>
                          <m:t>±</m:t>
                        </m:r>
                        <m:rad>
                          <m:radPr>
                            <m:degHide m:val="on"/>
                            <m:ctrlPr>
                              <a:rPr lang="es-PE" sz="1400" i="1">
                                <a:latin typeface="Cambria Math"/>
                              </a:rPr>
                            </m:ctrlPr>
                          </m:radPr>
                          <m:deg/>
                          <m:e>
                            <m:sSup>
                              <m:sSupPr>
                                <m:ctrlPr>
                                  <a:rPr lang="es-PE" sz="1400" i="1">
                                    <a:latin typeface="Cambria Math"/>
                                  </a:rPr>
                                </m:ctrlPr>
                              </m:sSupPr>
                              <m:e>
                                <m:r>
                                  <a:rPr lang="es-PE" sz="1400" i="1">
                                    <a:latin typeface="Cambria Math"/>
                                  </a:rPr>
                                  <m:t>𝑏</m:t>
                                </m:r>
                              </m:e>
                              <m:sup>
                                <m:r>
                                  <a:rPr lang="es-PE" sz="1400" i="1">
                                    <a:latin typeface="Cambria Math"/>
                                  </a:rPr>
                                  <m:t>2</m:t>
                                </m:r>
                              </m:sup>
                            </m:sSup>
                            <m:r>
                              <a:rPr lang="es-PE" sz="1400" i="1">
                                <a:latin typeface="Cambria Math"/>
                              </a:rPr>
                              <m:t>−4</m:t>
                            </m:r>
                            <m:r>
                              <a:rPr lang="es-PE" sz="1400" i="1">
                                <a:latin typeface="Cambria Math"/>
                              </a:rPr>
                              <m:t>𝑎𝑐</m:t>
                            </m:r>
                          </m:e>
                        </m:rad>
                      </m:num>
                      <m:den>
                        <m:r>
                          <a:rPr lang="es-PE" sz="1400" i="1">
                            <a:latin typeface="Cambria Math"/>
                          </a:rPr>
                          <m:t>2</m:t>
                        </m:r>
                        <m:r>
                          <a:rPr lang="es-PE" sz="1400" i="1">
                            <a:latin typeface="Cambria Math"/>
                          </a:rPr>
                          <m:t>𝑎</m:t>
                        </m:r>
                      </m:den>
                    </m:f>
                  </m:oMath>
                </m:oMathPara>
              </a14:m>
              <a:endParaRPr lang="es-PE" sz="1400"/>
            </a:p>
          </xdr:txBody>
        </xdr:sp>
      </mc:Choice>
      <mc:Fallback xmlns="">
        <xdr:sp macro="" textlink="">
          <xdr:nvSpPr>
            <xdr:cNvPr id="226" name="225 CuadroTexto"/>
            <xdr:cNvSpPr txBox="1"/>
          </xdr:nvSpPr>
          <xdr:spPr>
            <a:xfrm>
              <a:off x="1830918" y="48702521"/>
              <a:ext cx="3069166" cy="647564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es-PE" sz="1400" b="0" i="0">
                  <a:latin typeface="Cambria Math"/>
                </a:rPr>
                <a:t>𝑊</a:t>
              </a:r>
              <a:r>
                <a:rPr lang="es-PE" sz="1400" i="0">
                  <a:latin typeface="Cambria Math"/>
                </a:rPr>
                <a:t>=(−𝑏±√(𝑏^2−4𝑎𝑐))/2𝑎</a:t>
              </a:r>
              <a:endParaRPr lang="es-PE" sz="1400"/>
            </a:p>
          </xdr:txBody>
        </xdr:sp>
      </mc:Fallback>
    </mc:AlternateContent>
    <xdr:clientData/>
  </xdr:oneCellAnchor>
  <xdr:twoCellAnchor>
    <xdr:from>
      <xdr:col>2</xdr:col>
      <xdr:colOff>248707</xdr:colOff>
      <xdr:row>228</xdr:row>
      <xdr:rowOff>148167</xdr:rowOff>
    </xdr:from>
    <xdr:to>
      <xdr:col>2</xdr:col>
      <xdr:colOff>592667</xdr:colOff>
      <xdr:row>229</xdr:row>
      <xdr:rowOff>185208</xdr:rowOff>
    </xdr:to>
    <xdr:sp macro="" textlink="">
      <xdr:nvSpPr>
        <xdr:cNvPr id="228" name="227 Cerrar llave"/>
        <xdr:cNvSpPr/>
      </xdr:nvSpPr>
      <xdr:spPr>
        <a:xfrm rot="5400000">
          <a:off x="2000249" y="48085375"/>
          <a:ext cx="227541" cy="3439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242355</xdr:colOff>
      <xdr:row>229</xdr:row>
      <xdr:rowOff>0</xdr:rowOff>
    </xdr:from>
    <xdr:to>
      <xdr:col>3</xdr:col>
      <xdr:colOff>836082</xdr:colOff>
      <xdr:row>229</xdr:row>
      <xdr:rowOff>178860</xdr:rowOff>
    </xdr:to>
    <xdr:sp macro="" textlink="">
      <xdr:nvSpPr>
        <xdr:cNvPr id="229" name="228 Cerrar llave"/>
        <xdr:cNvSpPr/>
      </xdr:nvSpPr>
      <xdr:spPr>
        <a:xfrm rot="5400000">
          <a:off x="2968622" y="47978483"/>
          <a:ext cx="178860" cy="593727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225421</xdr:colOff>
      <xdr:row>228</xdr:row>
      <xdr:rowOff>152401</xdr:rowOff>
    </xdr:from>
    <xdr:to>
      <xdr:col>5</xdr:col>
      <xdr:colOff>4231</xdr:colOff>
      <xdr:row>229</xdr:row>
      <xdr:rowOff>140761</xdr:rowOff>
    </xdr:to>
    <xdr:sp macro="" textlink="">
      <xdr:nvSpPr>
        <xdr:cNvPr id="230" name="229 Cerrar llave"/>
        <xdr:cNvSpPr/>
      </xdr:nvSpPr>
      <xdr:spPr>
        <a:xfrm rot="5400000">
          <a:off x="3840688" y="47940384"/>
          <a:ext cx="178860" cy="593727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2</xdr:col>
      <xdr:colOff>264583</xdr:colOff>
      <xdr:row>238</xdr:row>
      <xdr:rowOff>190498</xdr:rowOff>
    </xdr:from>
    <xdr:to>
      <xdr:col>3</xdr:col>
      <xdr:colOff>645583</xdr:colOff>
      <xdr:row>241</xdr:row>
      <xdr:rowOff>31749</xdr:rowOff>
    </xdr:to>
    <xdr:pic>
      <xdr:nvPicPr>
        <xdr:cNvPr id="231" name="230 Imagen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2879" t="43117" r="37847" b="51238"/>
        <a:stretch/>
      </xdr:blipFill>
      <xdr:spPr>
        <a:xfrm>
          <a:off x="1957916" y="50090915"/>
          <a:ext cx="1206500" cy="41275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3</xdr:col>
      <xdr:colOff>772584</xdr:colOff>
      <xdr:row>242</xdr:row>
      <xdr:rowOff>169333</xdr:rowOff>
    </xdr:from>
    <xdr:to>
      <xdr:col>4</xdr:col>
      <xdr:colOff>391584</xdr:colOff>
      <xdr:row>244</xdr:row>
      <xdr:rowOff>42333</xdr:rowOff>
    </xdr:to>
    <xdr:sp macro="" textlink="">
      <xdr:nvSpPr>
        <xdr:cNvPr id="232" name="231 Flecha derecha"/>
        <xdr:cNvSpPr/>
      </xdr:nvSpPr>
      <xdr:spPr>
        <a:xfrm>
          <a:off x="3291417" y="50831750"/>
          <a:ext cx="508000" cy="2540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889000</xdr:colOff>
      <xdr:row>261</xdr:row>
      <xdr:rowOff>31750</xdr:rowOff>
    </xdr:from>
    <xdr:to>
      <xdr:col>6</xdr:col>
      <xdr:colOff>243416</xdr:colOff>
      <xdr:row>261</xdr:row>
      <xdr:rowOff>179917</xdr:rowOff>
    </xdr:to>
    <xdr:sp macro="" textlink="">
      <xdr:nvSpPr>
        <xdr:cNvPr id="234" name="233 Flecha derecha"/>
        <xdr:cNvSpPr/>
      </xdr:nvSpPr>
      <xdr:spPr>
        <a:xfrm>
          <a:off x="5111750" y="53975000"/>
          <a:ext cx="359833" cy="148167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872066</xdr:colOff>
      <xdr:row>274</xdr:row>
      <xdr:rowOff>35984</xdr:rowOff>
    </xdr:from>
    <xdr:to>
      <xdr:col>6</xdr:col>
      <xdr:colOff>226482</xdr:colOff>
      <xdr:row>274</xdr:row>
      <xdr:rowOff>184151</xdr:rowOff>
    </xdr:to>
    <xdr:sp macro="" textlink="">
      <xdr:nvSpPr>
        <xdr:cNvPr id="235" name="234 Flecha derecha"/>
        <xdr:cNvSpPr/>
      </xdr:nvSpPr>
      <xdr:spPr>
        <a:xfrm>
          <a:off x="5094816" y="56561567"/>
          <a:ext cx="359833" cy="148167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328084</xdr:colOff>
      <xdr:row>281</xdr:row>
      <xdr:rowOff>158750</xdr:rowOff>
    </xdr:from>
    <xdr:to>
      <xdr:col>5</xdr:col>
      <xdr:colOff>222250</xdr:colOff>
      <xdr:row>284</xdr:row>
      <xdr:rowOff>127000</xdr:rowOff>
    </xdr:to>
    <xdr:cxnSp macro="">
      <xdr:nvCxnSpPr>
        <xdr:cNvPr id="238" name="237 Conector recto de flecha"/>
        <xdr:cNvCxnSpPr/>
      </xdr:nvCxnSpPr>
      <xdr:spPr>
        <a:xfrm flipV="1">
          <a:off x="3735917" y="58017833"/>
          <a:ext cx="709083" cy="5397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681568</xdr:colOff>
      <xdr:row>287</xdr:row>
      <xdr:rowOff>4234</xdr:rowOff>
    </xdr:from>
    <xdr:to>
      <xdr:col>5</xdr:col>
      <xdr:colOff>243417</xdr:colOff>
      <xdr:row>289</xdr:row>
      <xdr:rowOff>95250</xdr:rowOff>
    </xdr:to>
    <xdr:cxnSp macro="">
      <xdr:nvCxnSpPr>
        <xdr:cNvPr id="239" name="238 Conector recto de flecha"/>
        <xdr:cNvCxnSpPr/>
      </xdr:nvCxnSpPr>
      <xdr:spPr>
        <a:xfrm>
          <a:off x="4089401" y="59006317"/>
          <a:ext cx="376766" cy="472016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624416</xdr:colOff>
      <xdr:row>293</xdr:row>
      <xdr:rowOff>169334</xdr:rowOff>
    </xdr:from>
    <xdr:to>
      <xdr:col>4</xdr:col>
      <xdr:colOff>232833</xdr:colOff>
      <xdr:row>296</xdr:row>
      <xdr:rowOff>84667</xdr:rowOff>
    </xdr:to>
    <xdr:sp macro="" textlink="">
      <xdr:nvSpPr>
        <xdr:cNvPr id="247" name="246 Corchetes"/>
        <xdr:cNvSpPr/>
      </xdr:nvSpPr>
      <xdr:spPr>
        <a:xfrm>
          <a:off x="3143249" y="60314417"/>
          <a:ext cx="497417" cy="486833"/>
        </a:xfrm>
        <a:prstGeom prst="bracketPair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730250</xdr:colOff>
      <xdr:row>295</xdr:row>
      <xdr:rowOff>105834</xdr:rowOff>
    </xdr:from>
    <xdr:to>
      <xdr:col>3</xdr:col>
      <xdr:colOff>793750</xdr:colOff>
      <xdr:row>296</xdr:row>
      <xdr:rowOff>42334</xdr:rowOff>
    </xdr:to>
    <xdr:cxnSp macro="">
      <xdr:nvCxnSpPr>
        <xdr:cNvPr id="249" name="248 Conector recto"/>
        <xdr:cNvCxnSpPr/>
      </xdr:nvCxnSpPr>
      <xdr:spPr>
        <a:xfrm>
          <a:off x="3249083" y="60631917"/>
          <a:ext cx="63500" cy="127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787400</xdr:colOff>
      <xdr:row>295</xdr:row>
      <xdr:rowOff>25400</xdr:rowOff>
    </xdr:from>
    <xdr:to>
      <xdr:col>3</xdr:col>
      <xdr:colOff>793750</xdr:colOff>
      <xdr:row>296</xdr:row>
      <xdr:rowOff>95250</xdr:rowOff>
    </xdr:to>
    <xdr:cxnSp macro="">
      <xdr:nvCxnSpPr>
        <xdr:cNvPr id="250" name="249 Conector recto"/>
        <xdr:cNvCxnSpPr/>
      </xdr:nvCxnSpPr>
      <xdr:spPr>
        <a:xfrm flipH="1" flipV="1">
          <a:off x="3306233" y="60551483"/>
          <a:ext cx="6350" cy="2603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787400</xdr:colOff>
      <xdr:row>295</xdr:row>
      <xdr:rowOff>4235</xdr:rowOff>
    </xdr:from>
    <xdr:to>
      <xdr:col>4</xdr:col>
      <xdr:colOff>148167</xdr:colOff>
      <xdr:row>295</xdr:row>
      <xdr:rowOff>10584</xdr:rowOff>
    </xdr:to>
    <xdr:cxnSp macro="">
      <xdr:nvCxnSpPr>
        <xdr:cNvPr id="253" name="252 Conector recto"/>
        <xdr:cNvCxnSpPr/>
      </xdr:nvCxnSpPr>
      <xdr:spPr>
        <a:xfrm>
          <a:off x="3306233" y="60530318"/>
          <a:ext cx="249767" cy="63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603250</xdr:colOff>
      <xdr:row>299</xdr:row>
      <xdr:rowOff>74084</xdr:rowOff>
    </xdr:from>
    <xdr:to>
      <xdr:col>3</xdr:col>
      <xdr:colOff>666750</xdr:colOff>
      <xdr:row>300</xdr:row>
      <xdr:rowOff>31750</xdr:rowOff>
    </xdr:to>
    <xdr:cxnSp macro="">
      <xdr:nvCxnSpPr>
        <xdr:cNvPr id="257" name="256 Conector recto"/>
        <xdr:cNvCxnSpPr/>
      </xdr:nvCxnSpPr>
      <xdr:spPr>
        <a:xfrm>
          <a:off x="3122083" y="61362167"/>
          <a:ext cx="63500" cy="14816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670983</xdr:colOff>
      <xdr:row>299</xdr:row>
      <xdr:rowOff>35984</xdr:rowOff>
    </xdr:from>
    <xdr:to>
      <xdr:col>3</xdr:col>
      <xdr:colOff>677333</xdr:colOff>
      <xdr:row>300</xdr:row>
      <xdr:rowOff>21167</xdr:rowOff>
    </xdr:to>
    <xdr:cxnSp macro="">
      <xdr:nvCxnSpPr>
        <xdr:cNvPr id="258" name="257 Conector recto"/>
        <xdr:cNvCxnSpPr/>
      </xdr:nvCxnSpPr>
      <xdr:spPr>
        <a:xfrm>
          <a:off x="3189816" y="61324067"/>
          <a:ext cx="6350" cy="17568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681567</xdr:colOff>
      <xdr:row>299</xdr:row>
      <xdr:rowOff>25400</xdr:rowOff>
    </xdr:from>
    <xdr:to>
      <xdr:col>4</xdr:col>
      <xdr:colOff>306918</xdr:colOff>
      <xdr:row>299</xdr:row>
      <xdr:rowOff>31750</xdr:rowOff>
    </xdr:to>
    <xdr:cxnSp macro="">
      <xdr:nvCxnSpPr>
        <xdr:cNvPr id="260" name="259 Conector recto"/>
        <xdr:cNvCxnSpPr/>
      </xdr:nvCxnSpPr>
      <xdr:spPr>
        <a:xfrm flipH="1" flipV="1">
          <a:off x="3200400" y="61313483"/>
          <a:ext cx="514351" cy="63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465666</xdr:colOff>
      <xdr:row>321</xdr:row>
      <xdr:rowOff>10584</xdr:rowOff>
    </xdr:from>
    <xdr:to>
      <xdr:col>1</xdr:col>
      <xdr:colOff>465666</xdr:colOff>
      <xdr:row>327</xdr:row>
      <xdr:rowOff>179917</xdr:rowOff>
    </xdr:to>
    <xdr:cxnSp macro="">
      <xdr:nvCxnSpPr>
        <xdr:cNvPr id="263" name="262 Conector recto"/>
        <xdr:cNvCxnSpPr/>
      </xdr:nvCxnSpPr>
      <xdr:spPr>
        <a:xfrm>
          <a:off x="931333" y="65489667"/>
          <a:ext cx="0" cy="131233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416984</xdr:colOff>
      <xdr:row>321</xdr:row>
      <xdr:rowOff>14817</xdr:rowOff>
    </xdr:from>
    <xdr:to>
      <xdr:col>3</xdr:col>
      <xdr:colOff>416984</xdr:colOff>
      <xdr:row>327</xdr:row>
      <xdr:rowOff>184150</xdr:rowOff>
    </xdr:to>
    <xdr:cxnSp macro="">
      <xdr:nvCxnSpPr>
        <xdr:cNvPr id="266" name="265 Conector recto"/>
        <xdr:cNvCxnSpPr/>
      </xdr:nvCxnSpPr>
      <xdr:spPr>
        <a:xfrm>
          <a:off x="2935817" y="65493900"/>
          <a:ext cx="0" cy="131233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476250</xdr:colOff>
      <xdr:row>321</xdr:row>
      <xdr:rowOff>10584</xdr:rowOff>
    </xdr:from>
    <xdr:to>
      <xdr:col>3</xdr:col>
      <xdr:colOff>412750</xdr:colOff>
      <xdr:row>321</xdr:row>
      <xdr:rowOff>10584</xdr:rowOff>
    </xdr:to>
    <xdr:cxnSp macro="">
      <xdr:nvCxnSpPr>
        <xdr:cNvPr id="267" name="266 Conector recto"/>
        <xdr:cNvCxnSpPr/>
      </xdr:nvCxnSpPr>
      <xdr:spPr>
        <a:xfrm>
          <a:off x="941917" y="65489667"/>
          <a:ext cx="198966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469900</xdr:colOff>
      <xdr:row>327</xdr:row>
      <xdr:rowOff>184151</xdr:rowOff>
    </xdr:from>
    <xdr:to>
      <xdr:col>3</xdr:col>
      <xdr:colOff>406400</xdr:colOff>
      <xdr:row>327</xdr:row>
      <xdr:rowOff>184151</xdr:rowOff>
    </xdr:to>
    <xdr:cxnSp macro="">
      <xdr:nvCxnSpPr>
        <xdr:cNvPr id="270" name="269 Conector recto"/>
        <xdr:cNvCxnSpPr/>
      </xdr:nvCxnSpPr>
      <xdr:spPr>
        <a:xfrm>
          <a:off x="935567" y="66806234"/>
          <a:ext cx="198966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42332</xdr:colOff>
      <xdr:row>323</xdr:row>
      <xdr:rowOff>116417</xdr:rowOff>
    </xdr:from>
    <xdr:to>
      <xdr:col>2</xdr:col>
      <xdr:colOff>550333</xdr:colOff>
      <xdr:row>324</xdr:row>
      <xdr:rowOff>158750</xdr:rowOff>
    </xdr:to>
    <xdr:sp macro="" textlink="">
      <xdr:nvSpPr>
        <xdr:cNvPr id="272" name="271 Rectángulo"/>
        <xdr:cNvSpPr/>
      </xdr:nvSpPr>
      <xdr:spPr>
        <a:xfrm>
          <a:off x="1735665" y="65976500"/>
          <a:ext cx="508001" cy="232833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</xdr:col>
      <xdr:colOff>491067</xdr:colOff>
      <xdr:row>322</xdr:row>
      <xdr:rowOff>131234</xdr:rowOff>
    </xdr:from>
    <xdr:to>
      <xdr:col>3</xdr:col>
      <xdr:colOff>427567</xdr:colOff>
      <xdr:row>322</xdr:row>
      <xdr:rowOff>131234</xdr:rowOff>
    </xdr:to>
    <xdr:cxnSp macro="">
      <xdr:nvCxnSpPr>
        <xdr:cNvPr id="273" name="272 Conector recto"/>
        <xdr:cNvCxnSpPr/>
      </xdr:nvCxnSpPr>
      <xdr:spPr>
        <a:xfrm>
          <a:off x="956734" y="65800817"/>
          <a:ext cx="1989666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463550</xdr:colOff>
      <xdr:row>326</xdr:row>
      <xdr:rowOff>8468</xdr:rowOff>
    </xdr:from>
    <xdr:to>
      <xdr:col>3</xdr:col>
      <xdr:colOff>400050</xdr:colOff>
      <xdr:row>326</xdr:row>
      <xdr:rowOff>8468</xdr:rowOff>
    </xdr:to>
    <xdr:cxnSp macro="">
      <xdr:nvCxnSpPr>
        <xdr:cNvPr id="274" name="273 Conector recto"/>
        <xdr:cNvCxnSpPr/>
      </xdr:nvCxnSpPr>
      <xdr:spPr>
        <a:xfrm>
          <a:off x="929217" y="66440051"/>
          <a:ext cx="1989666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484717</xdr:colOff>
      <xdr:row>329</xdr:row>
      <xdr:rowOff>19050</xdr:rowOff>
    </xdr:from>
    <xdr:to>
      <xdr:col>3</xdr:col>
      <xdr:colOff>421217</xdr:colOff>
      <xdr:row>329</xdr:row>
      <xdr:rowOff>19050</xdr:rowOff>
    </xdr:to>
    <xdr:cxnSp macro="">
      <xdr:nvCxnSpPr>
        <xdr:cNvPr id="275" name="274 Conector recto"/>
        <xdr:cNvCxnSpPr/>
      </xdr:nvCxnSpPr>
      <xdr:spPr>
        <a:xfrm>
          <a:off x="950384" y="67022133"/>
          <a:ext cx="198966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571500</xdr:colOff>
      <xdr:row>322</xdr:row>
      <xdr:rowOff>105834</xdr:rowOff>
    </xdr:from>
    <xdr:to>
      <xdr:col>3</xdr:col>
      <xdr:colOff>571500</xdr:colOff>
      <xdr:row>326</xdr:row>
      <xdr:rowOff>31750</xdr:rowOff>
    </xdr:to>
    <xdr:cxnSp macro="">
      <xdr:nvCxnSpPr>
        <xdr:cNvPr id="277" name="276 Conector recto"/>
        <xdr:cNvCxnSpPr/>
      </xdr:nvCxnSpPr>
      <xdr:spPr>
        <a:xfrm>
          <a:off x="3090333" y="65775417"/>
          <a:ext cx="0" cy="687916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224368</xdr:colOff>
      <xdr:row>324</xdr:row>
      <xdr:rowOff>21167</xdr:rowOff>
    </xdr:from>
    <xdr:to>
      <xdr:col>4</xdr:col>
      <xdr:colOff>624417</xdr:colOff>
      <xdr:row>324</xdr:row>
      <xdr:rowOff>23284</xdr:rowOff>
    </xdr:to>
    <xdr:cxnSp macro="">
      <xdr:nvCxnSpPr>
        <xdr:cNvPr id="280" name="279 Conector recto"/>
        <xdr:cNvCxnSpPr/>
      </xdr:nvCxnSpPr>
      <xdr:spPr>
        <a:xfrm flipV="1">
          <a:off x="3632201" y="66071750"/>
          <a:ext cx="400049" cy="211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556684</xdr:colOff>
      <xdr:row>323</xdr:row>
      <xdr:rowOff>173567</xdr:rowOff>
    </xdr:from>
    <xdr:to>
      <xdr:col>5</xdr:col>
      <xdr:colOff>956733</xdr:colOff>
      <xdr:row>323</xdr:row>
      <xdr:rowOff>175684</xdr:rowOff>
    </xdr:to>
    <xdr:cxnSp macro="">
      <xdr:nvCxnSpPr>
        <xdr:cNvPr id="282" name="281 Conector recto"/>
        <xdr:cNvCxnSpPr/>
      </xdr:nvCxnSpPr>
      <xdr:spPr>
        <a:xfrm flipV="1">
          <a:off x="4779434" y="66033650"/>
          <a:ext cx="400049" cy="211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546101</xdr:colOff>
      <xdr:row>330</xdr:row>
      <xdr:rowOff>6351</xdr:rowOff>
    </xdr:from>
    <xdr:to>
      <xdr:col>4</xdr:col>
      <xdr:colOff>783167</xdr:colOff>
      <xdr:row>330</xdr:row>
      <xdr:rowOff>10584</xdr:rowOff>
    </xdr:to>
    <xdr:cxnSp macro="">
      <xdr:nvCxnSpPr>
        <xdr:cNvPr id="283" name="282 Conector recto"/>
        <xdr:cNvCxnSpPr/>
      </xdr:nvCxnSpPr>
      <xdr:spPr>
        <a:xfrm>
          <a:off x="3953934" y="67199934"/>
          <a:ext cx="237066" cy="423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433917</xdr:colOff>
      <xdr:row>329</xdr:row>
      <xdr:rowOff>8467</xdr:rowOff>
    </xdr:from>
    <xdr:to>
      <xdr:col>5</xdr:col>
      <xdr:colOff>19049</xdr:colOff>
      <xdr:row>329</xdr:row>
      <xdr:rowOff>10584</xdr:rowOff>
    </xdr:to>
    <xdr:cxnSp macro="">
      <xdr:nvCxnSpPr>
        <xdr:cNvPr id="285" name="284 Conector recto"/>
        <xdr:cNvCxnSpPr/>
      </xdr:nvCxnSpPr>
      <xdr:spPr>
        <a:xfrm flipV="1">
          <a:off x="3841750" y="67011550"/>
          <a:ext cx="400049" cy="211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381000</xdr:colOff>
      <xdr:row>329</xdr:row>
      <xdr:rowOff>31750</xdr:rowOff>
    </xdr:from>
    <xdr:to>
      <xdr:col>4</xdr:col>
      <xdr:colOff>433917</xdr:colOff>
      <xdr:row>330</xdr:row>
      <xdr:rowOff>169333</xdr:rowOff>
    </xdr:to>
    <xdr:cxnSp macro="">
      <xdr:nvCxnSpPr>
        <xdr:cNvPr id="286" name="285 Conector recto"/>
        <xdr:cNvCxnSpPr/>
      </xdr:nvCxnSpPr>
      <xdr:spPr>
        <a:xfrm flipV="1">
          <a:off x="3788833" y="67034833"/>
          <a:ext cx="52917" cy="32808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317500</xdr:colOff>
      <xdr:row>330</xdr:row>
      <xdr:rowOff>21167</xdr:rowOff>
    </xdr:from>
    <xdr:to>
      <xdr:col>4</xdr:col>
      <xdr:colOff>406400</xdr:colOff>
      <xdr:row>330</xdr:row>
      <xdr:rowOff>184151</xdr:rowOff>
    </xdr:to>
    <xdr:cxnSp macro="">
      <xdr:nvCxnSpPr>
        <xdr:cNvPr id="289" name="288 Conector recto"/>
        <xdr:cNvCxnSpPr/>
      </xdr:nvCxnSpPr>
      <xdr:spPr>
        <a:xfrm flipH="1" flipV="1">
          <a:off x="3725333" y="67214750"/>
          <a:ext cx="88900" cy="16298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645584</xdr:colOff>
      <xdr:row>329</xdr:row>
      <xdr:rowOff>179917</xdr:rowOff>
    </xdr:from>
    <xdr:to>
      <xdr:col>6</xdr:col>
      <xdr:colOff>882650</xdr:colOff>
      <xdr:row>329</xdr:row>
      <xdr:rowOff>184150</xdr:rowOff>
    </xdr:to>
    <xdr:cxnSp macro="">
      <xdr:nvCxnSpPr>
        <xdr:cNvPr id="291" name="290 Conector recto"/>
        <xdr:cNvCxnSpPr/>
      </xdr:nvCxnSpPr>
      <xdr:spPr>
        <a:xfrm>
          <a:off x="5873751" y="67183000"/>
          <a:ext cx="237066" cy="423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522816</xdr:colOff>
      <xdr:row>328</xdr:row>
      <xdr:rowOff>182033</xdr:rowOff>
    </xdr:from>
    <xdr:to>
      <xdr:col>6</xdr:col>
      <xdr:colOff>922865</xdr:colOff>
      <xdr:row>328</xdr:row>
      <xdr:rowOff>184150</xdr:rowOff>
    </xdr:to>
    <xdr:cxnSp macro="">
      <xdr:nvCxnSpPr>
        <xdr:cNvPr id="292" name="291 Conector recto"/>
        <xdr:cNvCxnSpPr/>
      </xdr:nvCxnSpPr>
      <xdr:spPr>
        <a:xfrm flipV="1">
          <a:off x="5750983" y="66994616"/>
          <a:ext cx="400049" cy="2117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469899</xdr:colOff>
      <xdr:row>328</xdr:row>
      <xdr:rowOff>184150</xdr:rowOff>
    </xdr:from>
    <xdr:to>
      <xdr:col>6</xdr:col>
      <xdr:colOff>522816</xdr:colOff>
      <xdr:row>330</xdr:row>
      <xdr:rowOff>131233</xdr:rowOff>
    </xdr:to>
    <xdr:cxnSp macro="">
      <xdr:nvCxnSpPr>
        <xdr:cNvPr id="293" name="292 Conector recto"/>
        <xdr:cNvCxnSpPr/>
      </xdr:nvCxnSpPr>
      <xdr:spPr>
        <a:xfrm flipV="1">
          <a:off x="5698066" y="66996733"/>
          <a:ext cx="52917" cy="32808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364066</xdr:colOff>
      <xdr:row>329</xdr:row>
      <xdr:rowOff>131234</xdr:rowOff>
    </xdr:from>
    <xdr:to>
      <xdr:col>6</xdr:col>
      <xdr:colOff>452966</xdr:colOff>
      <xdr:row>330</xdr:row>
      <xdr:rowOff>103718</xdr:rowOff>
    </xdr:to>
    <xdr:cxnSp macro="">
      <xdr:nvCxnSpPr>
        <xdr:cNvPr id="294" name="293 Conector recto"/>
        <xdr:cNvCxnSpPr/>
      </xdr:nvCxnSpPr>
      <xdr:spPr>
        <a:xfrm flipH="1" flipV="1">
          <a:off x="5592233" y="67134317"/>
          <a:ext cx="88900" cy="16298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656167</xdr:colOff>
      <xdr:row>333</xdr:row>
      <xdr:rowOff>127000</xdr:rowOff>
    </xdr:from>
    <xdr:to>
      <xdr:col>9</xdr:col>
      <xdr:colOff>201084</xdr:colOff>
      <xdr:row>335</xdr:row>
      <xdr:rowOff>84667</xdr:rowOff>
    </xdr:to>
    <xdr:cxnSp macro="">
      <xdr:nvCxnSpPr>
        <xdr:cNvPr id="296" name="295 Conector recto de flecha"/>
        <xdr:cNvCxnSpPr/>
      </xdr:nvCxnSpPr>
      <xdr:spPr>
        <a:xfrm>
          <a:off x="8540750" y="67892083"/>
          <a:ext cx="465667" cy="33866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723900</xdr:colOff>
      <xdr:row>18</xdr:row>
      <xdr:rowOff>66674</xdr:rowOff>
    </xdr:from>
    <xdr:to>
      <xdr:col>13</xdr:col>
      <xdr:colOff>9525</xdr:colOff>
      <xdr:row>20</xdr:row>
      <xdr:rowOff>171450</xdr:rowOff>
    </xdr:to>
    <xdr:pic>
      <xdr:nvPicPr>
        <xdr:cNvPr id="21" name="20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423" t="42062" r="3941" b="45785"/>
        <a:stretch/>
      </xdr:blipFill>
      <xdr:spPr>
        <a:xfrm>
          <a:off x="1485900" y="3305174"/>
          <a:ext cx="7696200" cy="485776"/>
        </a:xfrm>
        <a:prstGeom prst="rect">
          <a:avLst/>
        </a:prstGeom>
      </xdr:spPr>
    </xdr:pic>
    <xdr:clientData/>
  </xdr:twoCellAnchor>
  <xdr:twoCellAnchor editAs="oneCell">
    <xdr:from>
      <xdr:col>8</xdr:col>
      <xdr:colOff>403509</xdr:colOff>
      <xdr:row>4</xdr:row>
      <xdr:rowOff>28574</xdr:rowOff>
    </xdr:from>
    <xdr:to>
      <xdr:col>10</xdr:col>
      <xdr:colOff>342900</xdr:colOff>
      <xdr:row>11</xdr:row>
      <xdr:rowOff>171449</xdr:rowOff>
    </xdr:to>
    <xdr:pic>
      <xdr:nvPicPr>
        <xdr:cNvPr id="23" name="22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78" t="19273" r="86858" b="52858"/>
        <a:stretch/>
      </xdr:blipFill>
      <xdr:spPr>
        <a:xfrm>
          <a:off x="6528084" y="790574"/>
          <a:ext cx="1463391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49</xdr:row>
      <xdr:rowOff>66674</xdr:rowOff>
    </xdr:from>
    <xdr:to>
      <xdr:col>4</xdr:col>
      <xdr:colOff>476250</xdr:colOff>
      <xdr:row>52</xdr:row>
      <xdr:rowOff>19049</xdr:rowOff>
    </xdr:to>
    <xdr:pic>
      <xdr:nvPicPr>
        <xdr:cNvPr id="24" name="23 Imagen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363" t="74227" r="80007" b="21345"/>
        <a:stretch/>
      </xdr:blipFill>
      <xdr:spPr>
        <a:xfrm>
          <a:off x="1009650" y="9867899"/>
          <a:ext cx="1781175" cy="523875"/>
        </a:xfrm>
        <a:prstGeom prst="rect">
          <a:avLst/>
        </a:prstGeom>
      </xdr:spPr>
    </xdr:pic>
    <xdr:clientData/>
  </xdr:twoCellAnchor>
  <xdr:twoCellAnchor>
    <xdr:from>
      <xdr:col>4</xdr:col>
      <xdr:colOff>590550</xdr:colOff>
      <xdr:row>50</xdr:row>
      <xdr:rowOff>180975</xdr:rowOff>
    </xdr:from>
    <xdr:to>
      <xdr:col>6</xdr:col>
      <xdr:colOff>419100</xdr:colOff>
      <xdr:row>50</xdr:row>
      <xdr:rowOff>180976</xdr:rowOff>
    </xdr:to>
    <xdr:cxnSp macro="">
      <xdr:nvCxnSpPr>
        <xdr:cNvPr id="26" name="25 Conector recto"/>
        <xdr:cNvCxnSpPr/>
      </xdr:nvCxnSpPr>
      <xdr:spPr>
        <a:xfrm>
          <a:off x="2905125" y="10172700"/>
          <a:ext cx="1352550" cy="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609600</xdr:colOff>
      <xdr:row>54</xdr:row>
      <xdr:rowOff>142874</xdr:rowOff>
    </xdr:from>
    <xdr:to>
      <xdr:col>4</xdr:col>
      <xdr:colOff>552451</xdr:colOff>
      <xdr:row>57</xdr:row>
      <xdr:rowOff>95249</xdr:rowOff>
    </xdr:to>
    <xdr:pic>
      <xdr:nvPicPr>
        <xdr:cNvPr id="33" name="32 Imagen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5847" t="68926" r="46450" b="22809"/>
        <a:stretch/>
      </xdr:blipFill>
      <xdr:spPr>
        <a:xfrm>
          <a:off x="609600" y="10896599"/>
          <a:ext cx="2257426" cy="52387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58</xdr:row>
      <xdr:rowOff>142875</xdr:rowOff>
    </xdr:from>
    <xdr:to>
      <xdr:col>8</xdr:col>
      <xdr:colOff>38100</xdr:colOff>
      <xdr:row>60</xdr:row>
      <xdr:rowOff>161925</xdr:rowOff>
    </xdr:to>
    <xdr:sp macro="" textlink="">
      <xdr:nvSpPr>
        <xdr:cNvPr id="35" name="34 Corchetes"/>
        <xdr:cNvSpPr/>
      </xdr:nvSpPr>
      <xdr:spPr>
        <a:xfrm>
          <a:off x="3924300" y="11658600"/>
          <a:ext cx="1476375" cy="40005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1</xdr:col>
      <xdr:colOff>733425</xdr:colOff>
      <xdr:row>70</xdr:row>
      <xdr:rowOff>161924</xdr:rowOff>
    </xdr:from>
    <xdr:to>
      <xdr:col>4</xdr:col>
      <xdr:colOff>542925</xdr:colOff>
      <xdr:row>73</xdr:row>
      <xdr:rowOff>142875</xdr:rowOff>
    </xdr:to>
    <xdr:pic>
      <xdr:nvPicPr>
        <xdr:cNvPr id="36" name="35 Imagen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5562" t="68788" r="46212" b="22910"/>
        <a:stretch/>
      </xdr:blipFill>
      <xdr:spPr>
        <a:xfrm>
          <a:off x="733425" y="13877924"/>
          <a:ext cx="2124075" cy="552451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</xdr:colOff>
      <xdr:row>74</xdr:row>
      <xdr:rowOff>66675</xdr:rowOff>
    </xdr:from>
    <xdr:to>
      <xdr:col>4</xdr:col>
      <xdr:colOff>409576</xdr:colOff>
      <xdr:row>76</xdr:row>
      <xdr:rowOff>171450</xdr:rowOff>
    </xdr:to>
    <xdr:pic>
      <xdr:nvPicPr>
        <xdr:cNvPr id="38" name="37 Imagen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9035" t="58889" r="77317" b="35042"/>
        <a:stretch/>
      </xdr:blipFill>
      <xdr:spPr>
        <a:xfrm>
          <a:off x="781049" y="14344650"/>
          <a:ext cx="1943102" cy="485775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76</xdr:row>
      <xdr:rowOff>19050</xdr:rowOff>
    </xdr:from>
    <xdr:to>
      <xdr:col>7</xdr:col>
      <xdr:colOff>380999</xdr:colOff>
      <xdr:row>76</xdr:row>
      <xdr:rowOff>180975</xdr:rowOff>
    </xdr:to>
    <xdr:sp macro="" textlink="">
      <xdr:nvSpPr>
        <xdr:cNvPr id="39" name="38 Corchetes"/>
        <xdr:cNvSpPr/>
      </xdr:nvSpPr>
      <xdr:spPr>
        <a:xfrm>
          <a:off x="3876675" y="14678025"/>
          <a:ext cx="1104899" cy="161925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228600</xdr:colOff>
      <xdr:row>75</xdr:row>
      <xdr:rowOff>180975</xdr:rowOff>
    </xdr:from>
    <xdr:to>
      <xdr:col>7</xdr:col>
      <xdr:colOff>57150</xdr:colOff>
      <xdr:row>75</xdr:row>
      <xdr:rowOff>180976</xdr:rowOff>
    </xdr:to>
    <xdr:cxnSp macro="">
      <xdr:nvCxnSpPr>
        <xdr:cNvPr id="40" name="39 Conector recto"/>
        <xdr:cNvCxnSpPr/>
      </xdr:nvCxnSpPr>
      <xdr:spPr>
        <a:xfrm>
          <a:off x="3305175" y="14649450"/>
          <a:ext cx="1352550" cy="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733424</xdr:colOff>
      <xdr:row>79</xdr:row>
      <xdr:rowOff>114299</xdr:rowOff>
    </xdr:from>
    <xdr:to>
      <xdr:col>3</xdr:col>
      <xdr:colOff>523875</xdr:colOff>
      <xdr:row>81</xdr:row>
      <xdr:rowOff>40509</xdr:rowOff>
    </xdr:to>
    <xdr:pic>
      <xdr:nvPicPr>
        <xdr:cNvPr id="41" name="40 Imagen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2234" t="70940" r="67485" b="24654"/>
        <a:stretch/>
      </xdr:blipFill>
      <xdr:spPr>
        <a:xfrm>
          <a:off x="733424" y="15344774"/>
          <a:ext cx="1314451" cy="316735"/>
        </a:xfrm>
        <a:prstGeom prst="rect">
          <a:avLst/>
        </a:prstGeom>
      </xdr:spPr>
    </xdr:pic>
    <xdr:clientData/>
  </xdr:twoCellAnchor>
  <xdr:twoCellAnchor>
    <xdr:from>
      <xdr:col>4</xdr:col>
      <xdr:colOff>123825</xdr:colOff>
      <xdr:row>83</xdr:row>
      <xdr:rowOff>171450</xdr:rowOff>
    </xdr:from>
    <xdr:to>
      <xdr:col>5</xdr:col>
      <xdr:colOff>666750</xdr:colOff>
      <xdr:row>93</xdr:row>
      <xdr:rowOff>133350</xdr:rowOff>
    </xdr:to>
    <xdr:sp macro="" textlink="">
      <xdr:nvSpPr>
        <xdr:cNvPr id="42" name="41 Rectángulo"/>
        <xdr:cNvSpPr/>
      </xdr:nvSpPr>
      <xdr:spPr>
        <a:xfrm>
          <a:off x="2438400" y="16173450"/>
          <a:ext cx="1304925" cy="1866900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314325</xdr:colOff>
      <xdr:row>84</xdr:row>
      <xdr:rowOff>133350</xdr:rowOff>
    </xdr:from>
    <xdr:to>
      <xdr:col>5</xdr:col>
      <xdr:colOff>476250</xdr:colOff>
      <xdr:row>92</xdr:row>
      <xdr:rowOff>171450</xdr:rowOff>
    </xdr:to>
    <xdr:sp macro="" textlink="">
      <xdr:nvSpPr>
        <xdr:cNvPr id="43" name="42 Rectángulo"/>
        <xdr:cNvSpPr/>
      </xdr:nvSpPr>
      <xdr:spPr>
        <a:xfrm>
          <a:off x="2628900" y="16325850"/>
          <a:ext cx="923925" cy="1562100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352425</xdr:colOff>
      <xdr:row>84</xdr:row>
      <xdr:rowOff>171449</xdr:rowOff>
    </xdr:from>
    <xdr:to>
      <xdr:col>4</xdr:col>
      <xdr:colOff>447675</xdr:colOff>
      <xdr:row>85</xdr:row>
      <xdr:rowOff>123824</xdr:rowOff>
    </xdr:to>
    <xdr:sp macro="" textlink="">
      <xdr:nvSpPr>
        <xdr:cNvPr id="44" name="43 Elipse"/>
        <xdr:cNvSpPr/>
      </xdr:nvSpPr>
      <xdr:spPr>
        <a:xfrm>
          <a:off x="2667000" y="16363949"/>
          <a:ext cx="95250" cy="1428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342900</xdr:colOff>
      <xdr:row>84</xdr:row>
      <xdr:rowOff>161924</xdr:rowOff>
    </xdr:from>
    <xdr:to>
      <xdr:col>5</xdr:col>
      <xdr:colOff>438150</xdr:colOff>
      <xdr:row>85</xdr:row>
      <xdr:rowOff>114299</xdr:rowOff>
    </xdr:to>
    <xdr:sp macro="" textlink="">
      <xdr:nvSpPr>
        <xdr:cNvPr id="46" name="45 Elipse"/>
        <xdr:cNvSpPr/>
      </xdr:nvSpPr>
      <xdr:spPr>
        <a:xfrm>
          <a:off x="4181475" y="16363949"/>
          <a:ext cx="95250" cy="1428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352425</xdr:colOff>
      <xdr:row>91</xdr:row>
      <xdr:rowOff>171449</xdr:rowOff>
    </xdr:from>
    <xdr:to>
      <xdr:col>4</xdr:col>
      <xdr:colOff>447675</xdr:colOff>
      <xdr:row>92</xdr:row>
      <xdr:rowOff>123824</xdr:rowOff>
    </xdr:to>
    <xdr:sp macro="" textlink="">
      <xdr:nvSpPr>
        <xdr:cNvPr id="47" name="46 Elipse"/>
        <xdr:cNvSpPr/>
      </xdr:nvSpPr>
      <xdr:spPr>
        <a:xfrm>
          <a:off x="2667000" y="17697449"/>
          <a:ext cx="95250" cy="1428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581025</xdr:colOff>
      <xdr:row>91</xdr:row>
      <xdr:rowOff>180974</xdr:rowOff>
    </xdr:from>
    <xdr:to>
      <xdr:col>4</xdr:col>
      <xdr:colOff>676275</xdr:colOff>
      <xdr:row>92</xdr:row>
      <xdr:rowOff>133349</xdr:rowOff>
    </xdr:to>
    <xdr:sp macro="" textlink="">
      <xdr:nvSpPr>
        <xdr:cNvPr id="48" name="47 Elipse"/>
        <xdr:cNvSpPr/>
      </xdr:nvSpPr>
      <xdr:spPr>
        <a:xfrm>
          <a:off x="2895600" y="17706974"/>
          <a:ext cx="95250" cy="1428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57150</xdr:colOff>
      <xdr:row>91</xdr:row>
      <xdr:rowOff>171449</xdr:rowOff>
    </xdr:from>
    <xdr:to>
      <xdr:col>5</xdr:col>
      <xdr:colOff>152400</xdr:colOff>
      <xdr:row>92</xdr:row>
      <xdr:rowOff>123824</xdr:rowOff>
    </xdr:to>
    <xdr:sp macro="" textlink="">
      <xdr:nvSpPr>
        <xdr:cNvPr id="49" name="48 Elipse"/>
        <xdr:cNvSpPr/>
      </xdr:nvSpPr>
      <xdr:spPr>
        <a:xfrm>
          <a:off x="3133725" y="17697449"/>
          <a:ext cx="95250" cy="1428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323850</xdr:colOff>
      <xdr:row>91</xdr:row>
      <xdr:rowOff>161924</xdr:rowOff>
    </xdr:from>
    <xdr:to>
      <xdr:col>5</xdr:col>
      <xdr:colOff>419100</xdr:colOff>
      <xdr:row>92</xdr:row>
      <xdr:rowOff>114299</xdr:rowOff>
    </xdr:to>
    <xdr:sp macro="" textlink="">
      <xdr:nvSpPr>
        <xdr:cNvPr id="50" name="49 Elipse"/>
        <xdr:cNvSpPr/>
      </xdr:nvSpPr>
      <xdr:spPr>
        <a:xfrm>
          <a:off x="3400425" y="17687924"/>
          <a:ext cx="95250" cy="142875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723900</xdr:colOff>
      <xdr:row>85</xdr:row>
      <xdr:rowOff>9525</xdr:rowOff>
    </xdr:from>
    <xdr:to>
      <xdr:col>6</xdr:col>
      <xdr:colOff>314325</xdr:colOff>
      <xdr:row>85</xdr:row>
      <xdr:rowOff>123824</xdr:rowOff>
    </xdr:to>
    <xdr:sp macro="" textlink="">
      <xdr:nvSpPr>
        <xdr:cNvPr id="51" name="50 Flecha derecha"/>
        <xdr:cNvSpPr/>
      </xdr:nvSpPr>
      <xdr:spPr>
        <a:xfrm>
          <a:off x="3800475" y="16402050"/>
          <a:ext cx="352425" cy="11429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5</xdr:col>
      <xdr:colOff>723900</xdr:colOff>
      <xdr:row>92</xdr:row>
      <xdr:rowOff>0</xdr:rowOff>
    </xdr:from>
    <xdr:to>
      <xdr:col>6</xdr:col>
      <xdr:colOff>314325</xdr:colOff>
      <xdr:row>92</xdr:row>
      <xdr:rowOff>114299</xdr:rowOff>
    </xdr:to>
    <xdr:sp macro="" textlink="">
      <xdr:nvSpPr>
        <xdr:cNvPr id="52" name="51 Flecha derecha"/>
        <xdr:cNvSpPr/>
      </xdr:nvSpPr>
      <xdr:spPr>
        <a:xfrm>
          <a:off x="3800475" y="17726025"/>
          <a:ext cx="352425" cy="11429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619126</xdr:colOff>
      <xdr:row>87</xdr:row>
      <xdr:rowOff>95250</xdr:rowOff>
    </xdr:from>
    <xdr:to>
      <xdr:col>4</xdr:col>
      <xdr:colOff>314326</xdr:colOff>
      <xdr:row>88</xdr:row>
      <xdr:rowOff>152400</xdr:rowOff>
    </xdr:to>
    <xdr:cxnSp macro="">
      <xdr:nvCxnSpPr>
        <xdr:cNvPr id="54" name="53 Conector curvado"/>
        <xdr:cNvCxnSpPr>
          <a:stCxn id="43" idx="1"/>
        </xdr:cNvCxnSpPr>
      </xdr:nvCxnSpPr>
      <xdr:spPr>
        <a:xfrm rot="10800000">
          <a:off x="2143126" y="16868775"/>
          <a:ext cx="485775" cy="247650"/>
        </a:xfrm>
        <a:prstGeom prst="curvedConnector3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428625</xdr:colOff>
      <xdr:row>97</xdr:row>
      <xdr:rowOff>104775</xdr:rowOff>
    </xdr:from>
    <xdr:to>
      <xdr:col>5</xdr:col>
      <xdr:colOff>116586</xdr:colOff>
      <xdr:row>99</xdr:row>
      <xdr:rowOff>142875</xdr:rowOff>
    </xdr:to>
    <xdr:pic>
      <xdr:nvPicPr>
        <xdr:cNvPr id="55" name="54 Imagen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4415" t="54511" r="54575" b="38873"/>
        <a:stretch/>
      </xdr:blipFill>
      <xdr:spPr>
        <a:xfrm>
          <a:off x="1952625" y="18783300"/>
          <a:ext cx="1240536" cy="419100"/>
        </a:xfrm>
        <a:prstGeom prst="rect">
          <a:avLst/>
        </a:prstGeom>
      </xdr:spPr>
    </xdr:pic>
    <xdr:clientData/>
  </xdr:twoCellAnchor>
  <xdr:twoCellAnchor>
    <xdr:from>
      <xdr:col>8</xdr:col>
      <xdr:colOff>304800</xdr:colOff>
      <xdr:row>104</xdr:row>
      <xdr:rowOff>209550</xdr:rowOff>
    </xdr:from>
    <xdr:to>
      <xdr:col>9</xdr:col>
      <xdr:colOff>466725</xdr:colOff>
      <xdr:row>104</xdr:row>
      <xdr:rowOff>209550</xdr:rowOff>
    </xdr:to>
    <xdr:cxnSp macro="">
      <xdr:nvCxnSpPr>
        <xdr:cNvPr id="56" name="55 Conector recto"/>
        <xdr:cNvCxnSpPr/>
      </xdr:nvCxnSpPr>
      <xdr:spPr>
        <a:xfrm>
          <a:off x="5667375" y="20240625"/>
          <a:ext cx="9239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200025</xdr:colOff>
      <xdr:row>104</xdr:row>
      <xdr:rowOff>28575</xdr:rowOff>
    </xdr:from>
    <xdr:to>
      <xdr:col>9</xdr:col>
      <xdr:colOff>609600</xdr:colOff>
      <xdr:row>106</xdr:row>
      <xdr:rowOff>0</xdr:rowOff>
    </xdr:to>
    <xdr:sp macro="" textlink="">
      <xdr:nvSpPr>
        <xdr:cNvPr id="58" name="57 Corchetes"/>
        <xdr:cNvSpPr/>
      </xdr:nvSpPr>
      <xdr:spPr>
        <a:xfrm>
          <a:off x="5562600" y="20059650"/>
          <a:ext cx="1171575" cy="3810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4</xdr:col>
      <xdr:colOff>238125</xdr:colOff>
      <xdr:row>112</xdr:row>
      <xdr:rowOff>9525</xdr:rowOff>
    </xdr:from>
    <xdr:to>
      <xdr:col>5</xdr:col>
      <xdr:colOff>400050</xdr:colOff>
      <xdr:row>112</xdr:row>
      <xdr:rowOff>9525</xdr:rowOff>
    </xdr:to>
    <xdr:cxnSp macro="">
      <xdr:nvCxnSpPr>
        <xdr:cNvPr id="59" name="58 Conector recto"/>
        <xdr:cNvCxnSpPr/>
      </xdr:nvCxnSpPr>
      <xdr:spPr>
        <a:xfrm>
          <a:off x="2552700" y="21678900"/>
          <a:ext cx="9239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95250</xdr:colOff>
      <xdr:row>16</xdr:row>
      <xdr:rowOff>66675</xdr:rowOff>
    </xdr:from>
    <xdr:to>
      <xdr:col>8</xdr:col>
      <xdr:colOff>704850</xdr:colOff>
      <xdr:row>16</xdr:row>
      <xdr:rowOff>180975</xdr:rowOff>
    </xdr:to>
    <xdr:cxnSp macro="">
      <xdr:nvCxnSpPr>
        <xdr:cNvPr id="3" name="2 Conector angular"/>
        <xdr:cNvCxnSpPr/>
      </xdr:nvCxnSpPr>
      <xdr:spPr>
        <a:xfrm>
          <a:off x="6219825" y="3114675"/>
          <a:ext cx="609600" cy="114300"/>
        </a:xfrm>
        <a:prstGeom prst="bentConnector3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723899</xdr:colOff>
      <xdr:row>6</xdr:row>
      <xdr:rowOff>47624</xdr:rowOff>
    </xdr:from>
    <xdr:to>
      <xdr:col>12</xdr:col>
      <xdr:colOff>504825</xdr:colOff>
      <xdr:row>10</xdr:row>
      <xdr:rowOff>9525</xdr:rowOff>
    </xdr:to>
    <xdr:pic>
      <xdr:nvPicPr>
        <xdr:cNvPr id="30" name="Picture 9" descr="logo%20UPLA%20OK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134474" y="1190624"/>
          <a:ext cx="542926" cy="7239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2:Q341"/>
  <sheetViews>
    <sheetView showGridLines="0" zoomScale="90" zoomScaleNormal="90" workbookViewId="0">
      <selection activeCell="F10" sqref="F10"/>
    </sheetView>
  </sheetViews>
  <sheetFormatPr baseColWidth="10" defaultRowHeight="15" x14ac:dyDescent="0.25"/>
  <cols>
    <col min="1" max="1" width="7" customWidth="1"/>
    <col min="2" max="2" width="18.42578125" bestFit="1" customWidth="1"/>
    <col min="3" max="3" width="12.42578125" customWidth="1"/>
    <col min="4" max="4" width="13.28515625" customWidth="1"/>
    <col min="5" max="5" width="12.28515625" customWidth="1"/>
    <col min="6" max="6" width="15" bestFit="1" customWidth="1"/>
    <col min="7" max="7" width="22.7109375" bestFit="1" customWidth="1"/>
    <col min="8" max="8" width="17.140625" customWidth="1"/>
    <col min="9" max="9" width="13.85546875" bestFit="1" customWidth="1"/>
    <col min="10" max="10" width="9.28515625" customWidth="1"/>
    <col min="11" max="11" width="5.42578125" customWidth="1"/>
    <col min="12" max="12" width="6.140625" customWidth="1"/>
    <col min="13" max="13" width="14.5703125" customWidth="1"/>
  </cols>
  <sheetData>
    <row r="2" spans="3:15" ht="15.75" thickBot="1" x14ac:dyDescent="0.3"/>
    <row r="3" spans="3:15" x14ac:dyDescent="0.25">
      <c r="D3" s="378" t="s">
        <v>156</v>
      </c>
      <c r="E3" s="379"/>
      <c r="F3" s="379"/>
      <c r="G3" s="379"/>
      <c r="H3" s="379"/>
      <c r="I3" s="380"/>
    </row>
    <row r="4" spans="3:15" ht="15.75" thickBot="1" x14ac:dyDescent="0.3">
      <c r="D4" s="381"/>
      <c r="E4" s="382"/>
      <c r="F4" s="382"/>
      <c r="G4" s="382"/>
      <c r="H4" s="382"/>
      <c r="I4" s="383"/>
    </row>
    <row r="8" spans="3:15" x14ac:dyDescent="0.25">
      <c r="C8" s="1" t="s">
        <v>11</v>
      </c>
      <c r="D8" s="47"/>
    </row>
    <row r="9" spans="3:15" x14ac:dyDescent="0.25">
      <c r="C9" s="1"/>
    </row>
    <row r="10" spans="3:15" x14ac:dyDescent="0.25">
      <c r="C10" s="1" t="s">
        <v>19</v>
      </c>
      <c r="D10" s="148"/>
    </row>
    <row r="11" spans="3:15" x14ac:dyDescent="0.25">
      <c r="C11" s="1"/>
    </row>
    <row r="12" spans="3:15" x14ac:dyDescent="0.25">
      <c r="C12" s="1" t="s">
        <v>20</v>
      </c>
      <c r="D12" s="148"/>
    </row>
    <row r="14" spans="3:15" x14ac:dyDescent="0.25">
      <c r="C14" t="s">
        <v>0</v>
      </c>
    </row>
    <row r="15" spans="3:15" x14ac:dyDescent="0.25">
      <c r="C15" s="8" t="s">
        <v>1</v>
      </c>
      <c r="D15" s="8" t="s">
        <v>2</v>
      </c>
      <c r="E15" s="9" t="s">
        <v>2</v>
      </c>
      <c r="F15" s="8" t="s">
        <v>4</v>
      </c>
      <c r="G15" s="8" t="s">
        <v>5</v>
      </c>
      <c r="H15" s="8" t="s">
        <v>6</v>
      </c>
      <c r="I15" s="8" t="s">
        <v>7</v>
      </c>
      <c r="J15" s="370" t="s">
        <v>8</v>
      </c>
      <c r="K15" s="371"/>
      <c r="L15" s="372"/>
      <c r="M15" s="389" t="s">
        <v>9</v>
      </c>
      <c r="N15" s="390"/>
      <c r="O15" s="8" t="s">
        <v>10</v>
      </c>
    </row>
    <row r="16" spans="3:15" x14ac:dyDescent="0.25">
      <c r="C16" s="11"/>
      <c r="D16" s="11"/>
      <c r="E16" s="10" t="s">
        <v>3</v>
      </c>
      <c r="F16" s="12"/>
      <c r="G16" s="2"/>
      <c r="H16" s="12"/>
      <c r="I16" s="12"/>
      <c r="J16" s="24"/>
      <c r="K16" s="43"/>
      <c r="L16" s="44"/>
      <c r="M16" s="46"/>
      <c r="O16" s="12"/>
    </row>
    <row r="17" spans="2:16" ht="20.25" customHeight="1" x14ac:dyDescent="0.25">
      <c r="C17" s="164"/>
      <c r="D17" s="165"/>
      <c r="E17" s="166"/>
      <c r="F17" s="6"/>
      <c r="G17" s="167"/>
      <c r="H17" s="152"/>
      <c r="I17" s="167"/>
      <c r="J17" s="166"/>
      <c r="K17" s="42"/>
      <c r="L17" s="49"/>
      <c r="M17" s="42"/>
      <c r="N17" s="2"/>
      <c r="O17" s="369">
        <f>D10</f>
        <v>0</v>
      </c>
    </row>
    <row r="18" spans="2:16" ht="19.5" customHeight="1" x14ac:dyDescent="0.25">
      <c r="C18" s="19">
        <v>10</v>
      </c>
      <c r="D18" s="53"/>
      <c r="E18" s="3">
        <f>D18</f>
        <v>0</v>
      </c>
      <c r="F18" s="4">
        <f>1.1*E18</f>
        <v>0</v>
      </c>
      <c r="G18" s="22">
        <v>0.25</v>
      </c>
      <c r="H18" s="153" t="e">
        <f>(F18/(G18*D8))*O17</f>
        <v>#DIV/0!</v>
      </c>
      <c r="I18" s="149" t="e">
        <f>(H18^0.5)</f>
        <v>#DIV/0!</v>
      </c>
      <c r="J18" s="28" t="e">
        <f t="shared" ref="J18:J27" si="0">I18</f>
        <v>#DIV/0!</v>
      </c>
      <c r="K18" s="26" t="s">
        <v>12</v>
      </c>
      <c r="L18" s="29" t="e">
        <f t="shared" ref="L18:L26" si="1">I18</f>
        <v>#DIV/0!</v>
      </c>
      <c r="M18" s="42"/>
      <c r="N18" s="2"/>
      <c r="O18" s="369"/>
    </row>
    <row r="19" spans="2:16" ht="21" customHeight="1" x14ac:dyDescent="0.25">
      <c r="C19" s="20">
        <v>9</v>
      </c>
      <c r="D19" s="53"/>
      <c r="E19" s="13">
        <f t="shared" ref="E19:E27" si="2">E18+D19</f>
        <v>0</v>
      </c>
      <c r="F19" s="14">
        <f>1.1*E19</f>
        <v>0</v>
      </c>
      <c r="G19" s="23">
        <v>0.25</v>
      </c>
      <c r="H19" s="153" t="e">
        <f>(F19/(G19*D8))*O17</f>
        <v>#DIV/0!</v>
      </c>
      <c r="I19" s="150" t="e">
        <f t="shared" ref="I19:I27" si="3">H19^0.5</f>
        <v>#DIV/0!</v>
      </c>
      <c r="J19" s="30" t="e">
        <f t="shared" si="0"/>
        <v>#DIV/0!</v>
      </c>
      <c r="K19" s="25" t="s">
        <v>12</v>
      </c>
      <c r="L19" s="31" t="e">
        <f t="shared" si="1"/>
        <v>#DIV/0!</v>
      </c>
      <c r="M19" s="54"/>
      <c r="N19" s="55"/>
      <c r="O19" s="6"/>
    </row>
    <row r="20" spans="2:16" ht="19.5" customHeight="1" x14ac:dyDescent="0.25">
      <c r="C20" s="19">
        <v>8</v>
      </c>
      <c r="D20" s="53"/>
      <c r="E20" s="3">
        <f t="shared" si="2"/>
        <v>0</v>
      </c>
      <c r="F20" s="4">
        <f t="shared" ref="F20:F26" si="4">1.1*E20</f>
        <v>0</v>
      </c>
      <c r="G20" s="22">
        <v>0.25</v>
      </c>
      <c r="H20" s="153" t="e">
        <f>(F20/(G20*D8))*O17</f>
        <v>#DIV/0!</v>
      </c>
      <c r="I20" s="149" t="e">
        <f t="shared" si="3"/>
        <v>#DIV/0!</v>
      </c>
      <c r="J20" s="28" t="e">
        <f t="shared" si="0"/>
        <v>#DIV/0!</v>
      </c>
      <c r="K20" s="26" t="s">
        <v>12</v>
      </c>
      <c r="L20" s="29" t="e">
        <f t="shared" si="1"/>
        <v>#DIV/0!</v>
      </c>
      <c r="M20" s="42"/>
      <c r="N20" s="2"/>
      <c r="O20" s="6"/>
    </row>
    <row r="21" spans="2:16" ht="20.25" customHeight="1" x14ac:dyDescent="0.25">
      <c r="C21" s="20">
        <v>7</v>
      </c>
      <c r="D21" s="53"/>
      <c r="E21" s="13">
        <f t="shared" si="2"/>
        <v>0</v>
      </c>
      <c r="F21" s="14">
        <f t="shared" si="4"/>
        <v>0</v>
      </c>
      <c r="G21" s="23">
        <v>0.25</v>
      </c>
      <c r="H21" s="153" t="e">
        <f>(F21/(G21*D8))*O17</f>
        <v>#DIV/0!</v>
      </c>
      <c r="I21" s="150" t="e">
        <f t="shared" si="3"/>
        <v>#DIV/0!</v>
      </c>
      <c r="J21" s="30" t="e">
        <f t="shared" si="0"/>
        <v>#DIV/0!</v>
      </c>
      <c r="K21" s="25" t="s">
        <v>12</v>
      </c>
      <c r="L21" s="31" t="e">
        <f t="shared" si="1"/>
        <v>#DIV/0!</v>
      </c>
      <c r="M21" s="42"/>
      <c r="N21" s="2"/>
      <c r="O21" s="6"/>
    </row>
    <row r="22" spans="2:16" ht="21.75" customHeight="1" x14ac:dyDescent="0.25">
      <c r="C22" s="19">
        <v>6</v>
      </c>
      <c r="D22" s="53"/>
      <c r="E22" s="3">
        <f t="shared" si="2"/>
        <v>0</v>
      </c>
      <c r="F22" s="4">
        <f t="shared" si="4"/>
        <v>0</v>
      </c>
      <c r="G22" s="5">
        <v>0.3</v>
      </c>
      <c r="H22" s="153" t="e">
        <f>(F22/(G22*D8))*O17</f>
        <v>#DIV/0!</v>
      </c>
      <c r="I22" s="149" t="e">
        <f t="shared" si="3"/>
        <v>#DIV/0!</v>
      </c>
      <c r="J22" s="28" t="e">
        <f t="shared" si="0"/>
        <v>#DIV/0!</v>
      </c>
      <c r="K22" s="26" t="s">
        <v>12</v>
      </c>
      <c r="L22" s="29" t="e">
        <f t="shared" si="1"/>
        <v>#DIV/0!</v>
      </c>
      <c r="M22" s="42"/>
      <c r="N22" s="2"/>
      <c r="O22" s="6"/>
    </row>
    <row r="23" spans="2:16" ht="21" customHeight="1" x14ac:dyDescent="0.25">
      <c r="C23" s="20">
        <v>5</v>
      </c>
      <c r="D23" s="53"/>
      <c r="E23" s="13">
        <f t="shared" si="2"/>
        <v>0</v>
      </c>
      <c r="F23" s="14">
        <f t="shared" si="4"/>
        <v>0</v>
      </c>
      <c r="G23" s="15">
        <v>0.3</v>
      </c>
      <c r="H23" s="153" t="e">
        <f>(F23/(G23*D8))*O17</f>
        <v>#DIV/0!</v>
      </c>
      <c r="I23" s="150" t="e">
        <f t="shared" si="3"/>
        <v>#DIV/0!</v>
      </c>
      <c r="J23" s="30" t="e">
        <f t="shared" si="0"/>
        <v>#DIV/0!</v>
      </c>
      <c r="K23" s="25" t="s">
        <v>12</v>
      </c>
      <c r="L23" s="31" t="e">
        <f t="shared" si="1"/>
        <v>#DIV/0!</v>
      </c>
      <c r="M23" s="54"/>
      <c r="N23" s="55"/>
      <c r="O23" s="6"/>
    </row>
    <row r="24" spans="2:16" ht="21" customHeight="1" x14ac:dyDescent="0.25">
      <c r="C24" s="19">
        <v>4</v>
      </c>
      <c r="D24" s="53"/>
      <c r="E24" s="3">
        <f t="shared" si="2"/>
        <v>0</v>
      </c>
      <c r="F24" s="4">
        <f t="shared" si="4"/>
        <v>0</v>
      </c>
      <c r="G24" s="5">
        <v>0.3</v>
      </c>
      <c r="H24" s="153" t="e">
        <f>(F24/(G24*D8))*O17</f>
        <v>#DIV/0!</v>
      </c>
      <c r="I24" s="149" t="e">
        <f t="shared" si="3"/>
        <v>#DIV/0!</v>
      </c>
      <c r="J24" s="28" t="e">
        <f t="shared" si="0"/>
        <v>#DIV/0!</v>
      </c>
      <c r="K24" s="26" t="s">
        <v>12</v>
      </c>
      <c r="L24" s="29" t="e">
        <f t="shared" si="1"/>
        <v>#DIV/0!</v>
      </c>
      <c r="M24" s="42"/>
      <c r="N24" s="2"/>
      <c r="O24" s="6"/>
    </row>
    <row r="25" spans="2:16" ht="20.25" customHeight="1" x14ac:dyDescent="0.25">
      <c r="C25" s="20">
        <v>3</v>
      </c>
      <c r="D25" s="53"/>
      <c r="E25" s="13">
        <f t="shared" si="2"/>
        <v>0</v>
      </c>
      <c r="F25" s="14">
        <f t="shared" si="4"/>
        <v>0</v>
      </c>
      <c r="G25" s="15">
        <v>0.3</v>
      </c>
      <c r="H25" s="153" t="e">
        <f>(F25/(G25*D8))*O17</f>
        <v>#DIV/0!</v>
      </c>
      <c r="I25" s="150" t="e">
        <f t="shared" si="3"/>
        <v>#DIV/0!</v>
      </c>
      <c r="J25" s="30" t="e">
        <f t="shared" si="0"/>
        <v>#DIV/0!</v>
      </c>
      <c r="K25" s="25" t="s">
        <v>12</v>
      </c>
      <c r="L25" s="31" t="e">
        <f t="shared" si="1"/>
        <v>#DIV/0!</v>
      </c>
      <c r="M25" s="42"/>
      <c r="N25" s="2"/>
      <c r="O25" s="6"/>
    </row>
    <row r="26" spans="2:16" ht="22.5" customHeight="1" x14ac:dyDescent="0.25">
      <c r="C26" s="19">
        <v>2</v>
      </c>
      <c r="D26" s="53"/>
      <c r="E26" s="3">
        <f t="shared" si="2"/>
        <v>0</v>
      </c>
      <c r="F26" s="4">
        <f t="shared" si="4"/>
        <v>0</v>
      </c>
      <c r="G26" s="5">
        <v>0.3</v>
      </c>
      <c r="H26" s="153" t="e">
        <f>(F26/(G26*D8))*O17</f>
        <v>#DIV/0!</v>
      </c>
      <c r="I26" s="149" t="e">
        <f t="shared" si="3"/>
        <v>#DIV/0!</v>
      </c>
      <c r="J26" s="28" t="e">
        <f t="shared" si="0"/>
        <v>#DIV/0!</v>
      </c>
      <c r="K26" s="26" t="s">
        <v>12</v>
      </c>
      <c r="L26" s="29" t="e">
        <f t="shared" si="1"/>
        <v>#DIV/0!</v>
      </c>
      <c r="M26" s="54"/>
      <c r="N26" s="55"/>
      <c r="O26" s="6"/>
    </row>
    <row r="27" spans="2:16" ht="20.25" customHeight="1" x14ac:dyDescent="0.25">
      <c r="C27" s="21">
        <v>1</v>
      </c>
      <c r="D27" s="53"/>
      <c r="E27" s="16">
        <f t="shared" si="2"/>
        <v>0</v>
      </c>
      <c r="F27" s="17">
        <f>1.1*E27</f>
        <v>0</v>
      </c>
      <c r="G27" s="18">
        <v>0.3</v>
      </c>
      <c r="H27" s="154" t="e">
        <f>(F27/(G27*D8))*O17</f>
        <v>#DIV/0!</v>
      </c>
      <c r="I27" s="151" t="e">
        <f t="shared" si="3"/>
        <v>#DIV/0!</v>
      </c>
      <c r="J27" s="32" t="e">
        <f t="shared" si="0"/>
        <v>#DIV/0!</v>
      </c>
      <c r="K27" s="18" t="s">
        <v>12</v>
      </c>
      <c r="L27" s="33" t="e">
        <f>J27</f>
        <v>#DIV/0!</v>
      </c>
      <c r="M27" s="45"/>
      <c r="N27" s="57"/>
      <c r="O27" s="7"/>
    </row>
    <row r="29" spans="2:16" x14ac:dyDescent="0.25">
      <c r="B29" s="353" t="s">
        <v>13</v>
      </c>
      <c r="C29" s="353"/>
      <c r="D29" t="s">
        <v>14</v>
      </c>
      <c r="E29" t="s">
        <v>15</v>
      </c>
    </row>
    <row r="30" spans="2:16" x14ac:dyDescent="0.25">
      <c r="C30" s="8" t="s">
        <v>1</v>
      </c>
      <c r="D30" s="8"/>
      <c r="E30" s="8" t="s">
        <v>2</v>
      </c>
      <c r="F30" s="9" t="s">
        <v>2</v>
      </c>
      <c r="G30" s="8" t="s">
        <v>17</v>
      </c>
      <c r="H30" s="8" t="s">
        <v>5</v>
      </c>
      <c r="I30" s="38" t="s">
        <v>6</v>
      </c>
      <c r="J30" s="8" t="s">
        <v>7</v>
      </c>
      <c r="K30" s="370" t="s">
        <v>8</v>
      </c>
      <c r="L30" s="371"/>
      <c r="M30" s="372"/>
      <c r="N30" s="373" t="s">
        <v>9</v>
      </c>
      <c r="O30" s="373"/>
      <c r="P30" s="8" t="s">
        <v>18</v>
      </c>
    </row>
    <row r="31" spans="2:16" x14ac:dyDescent="0.25">
      <c r="C31" s="11"/>
      <c r="D31" s="58"/>
      <c r="E31" s="11"/>
      <c r="F31" s="10" t="s">
        <v>3</v>
      </c>
      <c r="G31" s="12"/>
      <c r="H31" s="2"/>
      <c r="I31" s="12"/>
      <c r="J31" s="12"/>
      <c r="K31" s="24"/>
      <c r="L31" s="24"/>
      <c r="M31" s="44"/>
      <c r="N31" s="24"/>
      <c r="O31" s="27"/>
      <c r="P31" s="12"/>
    </row>
    <row r="32" spans="2:16" ht="18.75" x14ac:dyDescent="0.25">
      <c r="C32" s="164"/>
      <c r="D32" s="165"/>
      <c r="E32" s="166"/>
      <c r="F32" s="166"/>
      <c r="G32" s="6"/>
      <c r="H32" s="167"/>
      <c r="I32" s="152"/>
      <c r="J32" s="167"/>
      <c r="K32" s="166"/>
      <c r="L32" s="42"/>
      <c r="M32" s="49"/>
      <c r="N32" s="24"/>
      <c r="O32" s="49"/>
      <c r="P32" s="52">
        <f>D12</f>
        <v>0</v>
      </c>
    </row>
    <row r="33" spans="2:16" ht="19.5" customHeight="1" x14ac:dyDescent="0.25">
      <c r="C33" s="19">
        <v>10</v>
      </c>
      <c r="D33" s="53"/>
      <c r="E33" s="81">
        <f>D18</f>
        <v>0</v>
      </c>
      <c r="F33" s="3">
        <f>E33</f>
        <v>0</v>
      </c>
      <c r="G33" s="156">
        <f t="shared" ref="G33:G42" si="5">1.25*F33</f>
        <v>0</v>
      </c>
      <c r="H33" s="35">
        <v>0.25</v>
      </c>
      <c r="I33" s="153" t="e">
        <f>(G33/(H33*D8))*P32</f>
        <v>#DIV/0!</v>
      </c>
      <c r="J33" s="149" t="e">
        <f>(I33^0.5)</f>
        <v>#DIV/0!</v>
      </c>
      <c r="K33" s="28" t="e">
        <f t="shared" ref="K33:K42" si="6">J33</f>
        <v>#DIV/0!</v>
      </c>
      <c r="L33" s="39" t="s">
        <v>12</v>
      </c>
      <c r="M33" s="29" t="e">
        <f t="shared" ref="M33:M41" si="7">J33</f>
        <v>#DIV/0!</v>
      </c>
      <c r="N33" s="24"/>
      <c r="O33" s="49"/>
      <c r="P33" s="51"/>
    </row>
    <row r="34" spans="2:16" ht="21" customHeight="1" x14ac:dyDescent="0.25">
      <c r="C34" s="20">
        <v>9</v>
      </c>
      <c r="D34" s="53"/>
      <c r="E34" s="82">
        <f>D19</f>
        <v>0</v>
      </c>
      <c r="F34" s="13">
        <f t="shared" ref="F34:F42" si="8">F33+E34</f>
        <v>0</v>
      </c>
      <c r="G34" s="155">
        <f t="shared" si="5"/>
        <v>0</v>
      </c>
      <c r="H34" s="36">
        <v>0.25</v>
      </c>
      <c r="I34" s="153" t="e">
        <f>(G34/(H34*D8))*P32</f>
        <v>#DIV/0!</v>
      </c>
      <c r="J34" s="150" t="e">
        <f t="shared" ref="J34:J42" si="9">I34^0.5</f>
        <v>#DIV/0!</v>
      </c>
      <c r="K34" s="30" t="e">
        <f t="shared" si="6"/>
        <v>#DIV/0!</v>
      </c>
      <c r="L34" s="40" t="s">
        <v>12</v>
      </c>
      <c r="M34" s="31" t="e">
        <f t="shared" si="7"/>
        <v>#DIV/0!</v>
      </c>
      <c r="N34" s="54"/>
      <c r="O34" s="55"/>
      <c r="P34" s="6"/>
    </row>
    <row r="35" spans="2:16" ht="21" customHeight="1" x14ac:dyDescent="0.25">
      <c r="C35" s="19">
        <v>8</v>
      </c>
      <c r="D35" s="53"/>
      <c r="E35" s="81">
        <f t="shared" ref="E35:E42" si="10">D20</f>
        <v>0</v>
      </c>
      <c r="F35" s="3">
        <f t="shared" si="8"/>
        <v>0</v>
      </c>
      <c r="G35" s="156">
        <f t="shared" si="5"/>
        <v>0</v>
      </c>
      <c r="H35" s="35">
        <v>0.25</v>
      </c>
      <c r="I35" s="153" t="e">
        <f>(G35/(H35*D8))*P32</f>
        <v>#DIV/0!</v>
      </c>
      <c r="J35" s="149" t="e">
        <f t="shared" si="9"/>
        <v>#DIV/0!</v>
      </c>
      <c r="K35" s="28" t="e">
        <f t="shared" si="6"/>
        <v>#DIV/0!</v>
      </c>
      <c r="L35" s="39" t="s">
        <v>12</v>
      </c>
      <c r="M35" s="29" t="e">
        <f t="shared" si="7"/>
        <v>#DIV/0!</v>
      </c>
      <c r="N35" s="24"/>
      <c r="O35" s="49"/>
      <c r="P35" s="6"/>
    </row>
    <row r="36" spans="2:16" ht="20.25" customHeight="1" x14ac:dyDescent="0.25">
      <c r="C36" s="20">
        <v>7</v>
      </c>
      <c r="D36" s="53"/>
      <c r="E36" s="82">
        <f t="shared" si="10"/>
        <v>0</v>
      </c>
      <c r="F36" s="13">
        <f t="shared" si="8"/>
        <v>0</v>
      </c>
      <c r="G36" s="155">
        <f t="shared" si="5"/>
        <v>0</v>
      </c>
      <c r="H36" s="36">
        <v>0.25</v>
      </c>
      <c r="I36" s="153" t="e">
        <f>(G36/(H36*D8))*P32</f>
        <v>#DIV/0!</v>
      </c>
      <c r="J36" s="150" t="e">
        <f t="shared" si="9"/>
        <v>#DIV/0!</v>
      </c>
      <c r="K36" s="30" t="e">
        <f t="shared" si="6"/>
        <v>#DIV/0!</v>
      </c>
      <c r="L36" s="40" t="s">
        <v>12</v>
      </c>
      <c r="M36" s="31" t="e">
        <f t="shared" si="7"/>
        <v>#DIV/0!</v>
      </c>
      <c r="N36" s="24"/>
      <c r="O36" s="49"/>
      <c r="P36" s="6"/>
    </row>
    <row r="37" spans="2:16" ht="21" customHeight="1" x14ac:dyDescent="0.25">
      <c r="C37" s="19">
        <v>6</v>
      </c>
      <c r="D37" s="53"/>
      <c r="E37" s="81">
        <f t="shared" si="10"/>
        <v>0</v>
      </c>
      <c r="F37" s="3">
        <f t="shared" si="8"/>
        <v>0</v>
      </c>
      <c r="G37" s="156">
        <f t="shared" si="5"/>
        <v>0</v>
      </c>
      <c r="H37" s="35">
        <v>0.25</v>
      </c>
      <c r="I37" s="153" t="e">
        <f>(G37/(H37*D8))*P32</f>
        <v>#DIV/0!</v>
      </c>
      <c r="J37" s="149" t="e">
        <f t="shared" si="9"/>
        <v>#DIV/0!</v>
      </c>
      <c r="K37" s="28" t="e">
        <f t="shared" si="6"/>
        <v>#DIV/0!</v>
      </c>
      <c r="L37" s="39" t="s">
        <v>12</v>
      </c>
      <c r="M37" s="29" t="e">
        <f t="shared" si="7"/>
        <v>#DIV/0!</v>
      </c>
      <c r="N37" s="54"/>
      <c r="O37" s="55"/>
      <c r="P37" s="6"/>
    </row>
    <row r="38" spans="2:16" ht="21" customHeight="1" x14ac:dyDescent="0.25">
      <c r="C38" s="20">
        <v>5</v>
      </c>
      <c r="D38" s="53"/>
      <c r="E38" s="82">
        <f t="shared" si="10"/>
        <v>0</v>
      </c>
      <c r="F38" s="13">
        <f t="shared" si="8"/>
        <v>0</v>
      </c>
      <c r="G38" s="155">
        <f t="shared" si="5"/>
        <v>0</v>
      </c>
      <c r="H38" s="36">
        <v>0.25</v>
      </c>
      <c r="I38" s="153" t="e">
        <f>(G38/(H38*D8))*P32</f>
        <v>#DIV/0!</v>
      </c>
      <c r="J38" s="150" t="e">
        <f t="shared" si="9"/>
        <v>#DIV/0!</v>
      </c>
      <c r="K38" s="30" t="e">
        <f t="shared" si="6"/>
        <v>#DIV/0!</v>
      </c>
      <c r="L38" s="40" t="s">
        <v>12</v>
      </c>
      <c r="M38" s="31" t="e">
        <f t="shared" si="7"/>
        <v>#DIV/0!</v>
      </c>
      <c r="N38" s="24"/>
      <c r="O38" s="49"/>
      <c r="P38" s="6"/>
    </row>
    <row r="39" spans="2:16" ht="20.25" customHeight="1" x14ac:dyDescent="0.25">
      <c r="C39" s="19">
        <v>4</v>
      </c>
      <c r="D39" s="53"/>
      <c r="E39" s="81">
        <f t="shared" si="10"/>
        <v>0</v>
      </c>
      <c r="F39" s="3">
        <f t="shared" si="8"/>
        <v>0</v>
      </c>
      <c r="G39" s="156">
        <f t="shared" si="5"/>
        <v>0</v>
      </c>
      <c r="H39" s="35">
        <v>0.25</v>
      </c>
      <c r="I39" s="153" t="e">
        <f>(G39/(H39*D8))*P32</f>
        <v>#DIV/0!</v>
      </c>
      <c r="J39" s="149" t="e">
        <f t="shared" si="9"/>
        <v>#DIV/0!</v>
      </c>
      <c r="K39" s="28" t="e">
        <f t="shared" si="6"/>
        <v>#DIV/0!</v>
      </c>
      <c r="L39" s="39" t="s">
        <v>12</v>
      </c>
      <c r="M39" s="29" t="e">
        <f t="shared" si="7"/>
        <v>#DIV/0!</v>
      </c>
      <c r="N39" s="24"/>
      <c r="O39" s="49"/>
      <c r="P39" s="6"/>
    </row>
    <row r="40" spans="2:16" ht="19.5" customHeight="1" x14ac:dyDescent="0.25">
      <c r="C40" s="20">
        <v>3</v>
      </c>
      <c r="D40" s="53"/>
      <c r="E40" s="82">
        <f t="shared" si="10"/>
        <v>0</v>
      </c>
      <c r="F40" s="13">
        <f t="shared" si="8"/>
        <v>0</v>
      </c>
      <c r="G40" s="155">
        <f t="shared" si="5"/>
        <v>0</v>
      </c>
      <c r="H40" s="36">
        <v>0.25</v>
      </c>
      <c r="I40" s="153" t="e">
        <f>(G40/(H40*D8))*P32</f>
        <v>#DIV/0!</v>
      </c>
      <c r="J40" s="150" t="e">
        <f t="shared" si="9"/>
        <v>#DIV/0!</v>
      </c>
      <c r="K40" s="30" t="e">
        <f t="shared" si="6"/>
        <v>#DIV/0!</v>
      </c>
      <c r="L40" s="40" t="s">
        <v>12</v>
      </c>
      <c r="M40" s="31" t="e">
        <f t="shared" si="7"/>
        <v>#DIV/0!</v>
      </c>
      <c r="N40" s="24"/>
      <c r="O40" s="49"/>
      <c r="P40" s="6"/>
    </row>
    <row r="41" spans="2:16" ht="19.5" customHeight="1" x14ac:dyDescent="0.25">
      <c r="C41" s="19">
        <v>2</v>
      </c>
      <c r="D41" s="53"/>
      <c r="E41" s="81">
        <f t="shared" si="10"/>
        <v>0</v>
      </c>
      <c r="F41" s="3">
        <f t="shared" si="8"/>
        <v>0</v>
      </c>
      <c r="G41" s="156">
        <f t="shared" si="5"/>
        <v>0</v>
      </c>
      <c r="H41" s="35">
        <v>0.25</v>
      </c>
      <c r="I41" s="153" t="e">
        <f>(G41/(H41*D8))*P32</f>
        <v>#DIV/0!</v>
      </c>
      <c r="J41" s="149" t="e">
        <f t="shared" si="9"/>
        <v>#DIV/0!</v>
      </c>
      <c r="K41" s="28" t="e">
        <f t="shared" si="6"/>
        <v>#DIV/0!</v>
      </c>
      <c r="L41" s="39" t="s">
        <v>12</v>
      </c>
      <c r="M41" s="29" t="e">
        <f t="shared" si="7"/>
        <v>#DIV/0!</v>
      </c>
      <c r="N41" s="54"/>
      <c r="O41" s="55"/>
      <c r="P41" s="6"/>
    </row>
    <row r="42" spans="2:16" ht="17.25" customHeight="1" x14ac:dyDescent="0.25">
      <c r="C42" s="21">
        <v>1</v>
      </c>
      <c r="D42" s="53"/>
      <c r="E42" s="83">
        <f t="shared" si="10"/>
        <v>0</v>
      </c>
      <c r="F42" s="16">
        <f t="shared" si="8"/>
        <v>0</v>
      </c>
      <c r="G42" s="157">
        <f t="shared" si="5"/>
        <v>0</v>
      </c>
      <c r="H42" s="37">
        <v>0.25</v>
      </c>
      <c r="I42" s="154" t="e">
        <f>(G42/(H42*D8))*P32</f>
        <v>#DIV/0!</v>
      </c>
      <c r="J42" s="151" t="e">
        <f t="shared" si="9"/>
        <v>#DIV/0!</v>
      </c>
      <c r="K42" s="32" t="e">
        <f t="shared" si="6"/>
        <v>#DIV/0!</v>
      </c>
      <c r="L42" s="41" t="s">
        <v>12</v>
      </c>
      <c r="M42" s="33" t="e">
        <f>K42</f>
        <v>#DIV/0!</v>
      </c>
      <c r="N42" s="50"/>
      <c r="O42" s="48"/>
      <c r="P42" s="7"/>
    </row>
    <row r="43" spans="2:16" x14ac:dyDescent="0.25">
      <c r="C43" s="34" t="s">
        <v>16</v>
      </c>
      <c r="D43" s="374">
        <f>SUM(D32:D42)</f>
        <v>0</v>
      </c>
      <c r="E43" s="374"/>
    </row>
    <row r="46" spans="2:16" ht="18.75" x14ac:dyDescent="0.4">
      <c r="C46" s="79" t="s">
        <v>21</v>
      </c>
    </row>
    <row r="47" spans="2:16" x14ac:dyDescent="0.25">
      <c r="D47" s="67">
        <f t="shared" ref="D47:D56" si="11">D33</f>
        <v>0</v>
      </c>
    </row>
    <row r="48" spans="2:16" ht="18" customHeight="1" x14ac:dyDescent="0.25">
      <c r="B48" s="63">
        <v>10</v>
      </c>
      <c r="C48" s="59"/>
      <c r="D48" s="69">
        <f t="shared" si="11"/>
        <v>0</v>
      </c>
      <c r="E48" s="62" t="s">
        <v>22</v>
      </c>
      <c r="F48" s="65">
        <f>M19</f>
        <v>0</v>
      </c>
      <c r="G48" s="146">
        <f>N19</f>
        <v>0</v>
      </c>
      <c r="H48" s="80" t="s">
        <v>28</v>
      </c>
      <c r="J48" s="80" t="s">
        <v>28</v>
      </c>
      <c r="M48" s="80" t="s">
        <v>28</v>
      </c>
      <c r="O48" s="80" t="s">
        <v>28</v>
      </c>
    </row>
    <row r="49" spans="1:17" ht="20.25" customHeight="1" x14ac:dyDescent="0.25">
      <c r="B49" s="63">
        <v>9</v>
      </c>
      <c r="C49" s="59"/>
      <c r="D49" s="69">
        <f t="shared" si="11"/>
        <v>0</v>
      </c>
      <c r="E49" s="62" t="s">
        <v>23</v>
      </c>
      <c r="F49" s="68">
        <f>N34</f>
        <v>0</v>
      </c>
      <c r="G49" s="146">
        <f>O34</f>
        <v>0</v>
      </c>
      <c r="H49" s="56" t="s">
        <v>25</v>
      </c>
      <c r="I49" s="73">
        <f>H61-(((F49/100)/2)+((F48/100)/2))</f>
        <v>0</v>
      </c>
      <c r="J49" s="56" t="s">
        <v>25</v>
      </c>
      <c r="K49" s="354">
        <f>J61-(((F48/100)/2)+((G48/100)/2))</f>
        <v>0</v>
      </c>
      <c r="L49" s="354"/>
      <c r="M49" s="56" t="s">
        <v>25</v>
      </c>
      <c r="N49" s="73">
        <f>M61-(((F48/100)/2)+((G48/100)/2))</f>
        <v>0</v>
      </c>
      <c r="O49" s="56" t="s">
        <v>25</v>
      </c>
      <c r="P49" s="74">
        <f>O61-(((F48/100)/2)+((F49/100)/2))</f>
        <v>0</v>
      </c>
    </row>
    <row r="50" spans="1:17" ht="18.75" customHeight="1" x14ac:dyDescent="0.25">
      <c r="B50" s="63">
        <v>8</v>
      </c>
      <c r="C50" s="59"/>
      <c r="D50" s="69">
        <f t="shared" si="11"/>
        <v>0</v>
      </c>
      <c r="E50" s="62"/>
      <c r="F50" s="65"/>
      <c r="G50" s="66"/>
    </row>
    <row r="51" spans="1:17" ht="21.75" customHeight="1" x14ac:dyDescent="0.25">
      <c r="B51" s="63">
        <v>7</v>
      </c>
      <c r="C51" s="59"/>
      <c r="D51" s="69">
        <f t="shared" si="11"/>
        <v>0</v>
      </c>
      <c r="E51" s="62" t="s">
        <v>22</v>
      </c>
      <c r="F51" s="65">
        <f>M23</f>
        <v>0</v>
      </c>
      <c r="G51" s="146">
        <f>N23</f>
        <v>0</v>
      </c>
      <c r="H51" s="80" t="s">
        <v>28</v>
      </c>
      <c r="J51" s="80" t="s">
        <v>28</v>
      </c>
      <c r="M51" s="80" t="s">
        <v>28</v>
      </c>
      <c r="O51" s="80" t="s">
        <v>28</v>
      </c>
    </row>
    <row r="52" spans="1:17" ht="20.25" customHeight="1" x14ac:dyDescent="0.25">
      <c r="B52" s="63">
        <v>6</v>
      </c>
      <c r="C52" s="59"/>
      <c r="D52" s="69">
        <f t="shared" si="11"/>
        <v>0</v>
      </c>
      <c r="E52" s="62" t="s">
        <v>23</v>
      </c>
      <c r="F52" s="65">
        <f>N37</f>
        <v>0</v>
      </c>
      <c r="G52" s="146">
        <f>O37</f>
        <v>0</v>
      </c>
      <c r="H52" s="56" t="s">
        <v>25</v>
      </c>
      <c r="I52" s="74">
        <f>H61-(((F52/100)/2)+((F51/100)/2))</f>
        <v>0</v>
      </c>
      <c r="J52" s="56" t="s">
        <v>25</v>
      </c>
      <c r="K52" s="354">
        <f>J61-(((F51/100)/2)+((G51/100)/2))</f>
        <v>0</v>
      </c>
      <c r="L52" s="354"/>
      <c r="M52" s="56" t="s">
        <v>25</v>
      </c>
      <c r="N52" s="73">
        <f>M61-(((F51/100)/2)+((G51/100)/2))</f>
        <v>0</v>
      </c>
      <c r="O52" s="56" t="s">
        <v>25</v>
      </c>
      <c r="P52" s="74">
        <f>O61-(((F51/100)/2)+((F52/100)/2))</f>
        <v>0</v>
      </c>
    </row>
    <row r="53" spans="1:17" ht="21.75" customHeight="1" x14ac:dyDescent="0.25">
      <c r="B53" s="63">
        <v>5</v>
      </c>
      <c r="C53" s="59"/>
      <c r="D53" s="69">
        <f t="shared" si="11"/>
        <v>0</v>
      </c>
      <c r="E53" s="62"/>
      <c r="F53" s="65"/>
      <c r="G53" s="66"/>
    </row>
    <row r="54" spans="1:17" ht="23.25" customHeight="1" x14ac:dyDescent="0.25">
      <c r="B54" s="63">
        <v>4</v>
      </c>
      <c r="C54" s="59"/>
      <c r="D54" s="69">
        <f t="shared" si="11"/>
        <v>0</v>
      </c>
      <c r="E54" s="62" t="s">
        <v>22</v>
      </c>
      <c r="F54" s="65">
        <f>M26</f>
        <v>0</v>
      </c>
      <c r="G54" s="146">
        <f>N26</f>
        <v>0</v>
      </c>
      <c r="H54" s="80" t="s">
        <v>28</v>
      </c>
      <c r="J54" s="80" t="s">
        <v>28</v>
      </c>
      <c r="M54" s="80" t="s">
        <v>28</v>
      </c>
      <c r="O54" s="80" t="s">
        <v>28</v>
      </c>
    </row>
    <row r="55" spans="1:17" ht="22.5" customHeight="1" x14ac:dyDescent="0.25">
      <c r="B55" s="63">
        <v>3</v>
      </c>
      <c r="C55" s="59"/>
      <c r="D55" s="69">
        <f t="shared" si="11"/>
        <v>0</v>
      </c>
      <c r="E55" s="62" t="s">
        <v>23</v>
      </c>
      <c r="F55" s="65">
        <f>N41</f>
        <v>0</v>
      </c>
      <c r="G55" s="146">
        <f>O41</f>
        <v>0</v>
      </c>
      <c r="H55" s="56" t="s">
        <v>25</v>
      </c>
      <c r="I55" s="74">
        <f>H61-(((F55/100)/2)+((F54/100)/2))</f>
        <v>0</v>
      </c>
      <c r="J55" s="56" t="s">
        <v>25</v>
      </c>
      <c r="K55" s="354">
        <f>J61-(((F54/100)/2)+((G54/100)/2))</f>
        <v>0</v>
      </c>
      <c r="L55" s="354"/>
      <c r="M55" s="56" t="s">
        <v>25</v>
      </c>
      <c r="N55" s="73">
        <f>M61-(((F54/100)/2)+((G54/100)/2))</f>
        <v>0</v>
      </c>
      <c r="O55" s="56" t="s">
        <v>25</v>
      </c>
      <c r="P55" s="74">
        <f>O61-(((F54/100)/2)+((F55/100)/2))</f>
        <v>0</v>
      </c>
    </row>
    <row r="56" spans="1:17" ht="21" customHeight="1" x14ac:dyDescent="0.25">
      <c r="B56" s="63">
        <v>2</v>
      </c>
      <c r="C56" s="59"/>
      <c r="D56" s="69">
        <f t="shared" si="11"/>
        <v>0</v>
      </c>
      <c r="E56" s="59"/>
      <c r="F56" s="65"/>
      <c r="G56" s="65"/>
      <c r="H56" s="80" t="s">
        <v>28</v>
      </c>
      <c r="J56" s="80" t="s">
        <v>28</v>
      </c>
      <c r="M56" s="80" t="s">
        <v>28</v>
      </c>
      <c r="O56" s="80" t="s">
        <v>28</v>
      </c>
    </row>
    <row r="57" spans="1:17" ht="25.5" customHeight="1" x14ac:dyDescent="0.25">
      <c r="B57" s="64">
        <v>1</v>
      </c>
      <c r="C57" s="60"/>
      <c r="D57" s="60"/>
      <c r="E57" s="60"/>
    </row>
    <row r="58" spans="1:17" x14ac:dyDescent="0.25">
      <c r="B58" s="61"/>
      <c r="C58" s="61"/>
      <c r="D58" s="61"/>
      <c r="E58" s="61"/>
    </row>
    <row r="59" spans="1:17" ht="18" customHeight="1" x14ac:dyDescent="0.25">
      <c r="B59" s="75"/>
      <c r="C59" s="76"/>
      <c r="D59" s="77"/>
      <c r="E59" s="76"/>
    </row>
    <row r="60" spans="1:17" x14ac:dyDescent="0.25">
      <c r="B60" s="70"/>
      <c r="C60" s="61"/>
      <c r="D60" s="61"/>
      <c r="E60" s="61"/>
    </row>
    <row r="61" spans="1:17" x14ac:dyDescent="0.25">
      <c r="A61" s="367">
        <v>250</v>
      </c>
      <c r="B61" s="367"/>
      <c r="C61" s="72" t="s">
        <v>24</v>
      </c>
      <c r="D61" s="71" t="s">
        <v>26</v>
      </c>
      <c r="E61" s="61"/>
      <c r="F61" s="61"/>
      <c r="H61" s="361">
        <f>B59</f>
        <v>0</v>
      </c>
      <c r="I61" s="361"/>
      <c r="J61" s="355">
        <f>C59</f>
        <v>0</v>
      </c>
      <c r="K61" s="355"/>
      <c r="L61" s="355"/>
      <c r="M61" s="355">
        <f>D59</f>
        <v>0</v>
      </c>
      <c r="N61" s="355"/>
      <c r="O61" s="355">
        <f>E59</f>
        <v>0</v>
      </c>
      <c r="P61" s="355"/>
    </row>
    <row r="62" spans="1:17" x14ac:dyDescent="0.25">
      <c r="C62" s="71">
        <v>11</v>
      </c>
      <c r="D62" s="61">
        <v>20</v>
      </c>
      <c r="E62" s="61"/>
      <c r="F62" s="61"/>
    </row>
    <row r="63" spans="1:17" x14ac:dyDescent="0.25">
      <c r="A63" s="367">
        <v>500</v>
      </c>
      <c r="B63" s="367"/>
      <c r="C63" s="72" t="s">
        <v>24</v>
      </c>
      <c r="D63" s="61"/>
      <c r="E63" s="61"/>
      <c r="F63" s="61"/>
      <c r="H63" s="66"/>
      <c r="I63" s="66"/>
      <c r="J63" s="66"/>
      <c r="K63" s="66"/>
      <c r="L63" s="66"/>
      <c r="M63" s="66"/>
      <c r="N63" s="66"/>
      <c r="O63" s="66"/>
      <c r="P63" s="66"/>
      <c r="Q63" s="66"/>
    </row>
    <row r="64" spans="1:17" x14ac:dyDescent="0.25">
      <c r="C64" s="56">
        <v>10</v>
      </c>
      <c r="H64" s="66"/>
      <c r="I64" s="66"/>
      <c r="J64" s="66"/>
      <c r="K64" s="66"/>
      <c r="L64" s="66"/>
      <c r="M64" s="66"/>
      <c r="N64" s="66"/>
      <c r="O64" s="66"/>
      <c r="P64" s="66"/>
      <c r="Q64" s="66"/>
    </row>
    <row r="65" spans="1:14" ht="16.5" customHeight="1" x14ac:dyDescent="0.25">
      <c r="A65" s="367">
        <v>750</v>
      </c>
      <c r="B65" s="367"/>
      <c r="C65" s="72" t="s">
        <v>24</v>
      </c>
    </row>
    <row r="66" spans="1:14" x14ac:dyDescent="0.25">
      <c r="C66" s="56">
        <v>9</v>
      </c>
    </row>
    <row r="67" spans="1:14" x14ac:dyDescent="0.25">
      <c r="A67" s="367">
        <v>1000</v>
      </c>
      <c r="B67" s="367"/>
      <c r="C67" s="72" t="s">
        <v>24</v>
      </c>
    </row>
    <row r="68" spans="1:14" x14ac:dyDescent="0.25">
      <c r="C68" s="56">
        <v>8</v>
      </c>
    </row>
    <row r="70" spans="1:14" ht="18.75" x14ac:dyDescent="0.4">
      <c r="C70" s="79" t="s">
        <v>27</v>
      </c>
      <c r="D70" s="78"/>
    </row>
    <row r="72" spans="1:14" x14ac:dyDescent="0.25">
      <c r="B72" t="s">
        <v>29</v>
      </c>
      <c r="E72" s="67"/>
    </row>
    <row r="73" spans="1:14" ht="21" customHeight="1" x14ac:dyDescent="0.25">
      <c r="C73" s="63">
        <v>10</v>
      </c>
      <c r="D73" s="59"/>
      <c r="E73" s="62" t="s">
        <v>22</v>
      </c>
      <c r="F73" s="142">
        <f>F48</f>
        <v>0</v>
      </c>
      <c r="G73" s="147">
        <f>G48</f>
        <v>0</v>
      </c>
      <c r="H73" s="80" t="s">
        <v>28</v>
      </c>
      <c r="J73" s="80" t="s">
        <v>28</v>
      </c>
      <c r="M73" s="80" t="s">
        <v>28</v>
      </c>
    </row>
    <row r="74" spans="1:14" ht="21" customHeight="1" x14ac:dyDescent="0.25">
      <c r="C74" s="63">
        <v>9</v>
      </c>
      <c r="D74" s="59"/>
      <c r="E74" s="62" t="s">
        <v>23</v>
      </c>
      <c r="F74" s="142">
        <f>F49</f>
        <v>0</v>
      </c>
      <c r="G74" s="147">
        <f>G49</f>
        <v>0</v>
      </c>
      <c r="H74" s="56" t="s">
        <v>25</v>
      </c>
      <c r="I74" s="74">
        <f>H86-(((F74/100)/2)+((F73/100)/2))</f>
        <v>0</v>
      </c>
      <c r="J74" s="56" t="s">
        <v>25</v>
      </c>
      <c r="K74" s="354">
        <f>J86-(((F73/100)/2)+((G73/100)/2))</f>
        <v>0</v>
      </c>
      <c r="L74" s="354"/>
      <c r="M74" s="56" t="s">
        <v>25</v>
      </c>
      <c r="N74" s="74">
        <f>M86-(((F73/100)/2)+((F74/100)/2))</f>
        <v>0</v>
      </c>
    </row>
    <row r="75" spans="1:14" ht="21.75" customHeight="1" x14ac:dyDescent="0.25">
      <c r="C75" s="63">
        <v>8</v>
      </c>
      <c r="D75" s="59"/>
      <c r="E75" s="62"/>
      <c r="F75" s="142"/>
      <c r="G75" s="143"/>
    </row>
    <row r="76" spans="1:14" ht="18.75" customHeight="1" x14ac:dyDescent="0.25">
      <c r="C76" s="63">
        <v>7</v>
      </c>
      <c r="D76" s="59"/>
      <c r="E76" s="62" t="s">
        <v>22</v>
      </c>
      <c r="F76" s="142">
        <f>F51</f>
        <v>0</v>
      </c>
      <c r="G76" s="147">
        <f>G51</f>
        <v>0</v>
      </c>
      <c r="H76" s="80" t="s">
        <v>28</v>
      </c>
      <c r="J76" s="80" t="s">
        <v>28</v>
      </c>
      <c r="M76" s="80" t="s">
        <v>28</v>
      </c>
    </row>
    <row r="77" spans="1:14" ht="19.5" customHeight="1" x14ac:dyDescent="0.25">
      <c r="C77" s="63">
        <v>6</v>
      </c>
      <c r="D77" s="59"/>
      <c r="E77" s="62" t="s">
        <v>23</v>
      </c>
      <c r="F77" s="142">
        <f>F52</f>
        <v>0</v>
      </c>
      <c r="G77" s="147">
        <f>G52</f>
        <v>0</v>
      </c>
      <c r="H77" s="56" t="s">
        <v>25</v>
      </c>
      <c r="I77" s="74">
        <f>H86-(((F77/100)/2)+((F76/100)/2))</f>
        <v>0</v>
      </c>
      <c r="J77" s="56" t="s">
        <v>25</v>
      </c>
      <c r="K77" s="354">
        <f>J86-(((F76/100)/2)+((G76/100)/2))</f>
        <v>0</v>
      </c>
      <c r="L77" s="354"/>
      <c r="M77" s="56" t="s">
        <v>25</v>
      </c>
      <c r="N77" s="74">
        <f>M86-(((F76/100)/2)+((F77/100)/2))</f>
        <v>0</v>
      </c>
    </row>
    <row r="78" spans="1:14" ht="21" customHeight="1" x14ac:dyDescent="0.25">
      <c r="C78" s="63">
        <v>5</v>
      </c>
      <c r="D78" s="59"/>
      <c r="E78" s="62"/>
      <c r="F78" s="142"/>
      <c r="G78" s="143"/>
    </row>
    <row r="79" spans="1:14" ht="19.5" customHeight="1" x14ac:dyDescent="0.25">
      <c r="C79" s="63">
        <v>4</v>
      </c>
      <c r="D79" s="59"/>
      <c r="E79" s="62" t="s">
        <v>22</v>
      </c>
      <c r="F79" s="142">
        <f>F54</f>
        <v>0</v>
      </c>
      <c r="G79" s="147">
        <f>G54</f>
        <v>0</v>
      </c>
      <c r="H79" s="80" t="s">
        <v>28</v>
      </c>
      <c r="J79" s="80" t="s">
        <v>28</v>
      </c>
      <c r="M79" s="80" t="s">
        <v>28</v>
      </c>
    </row>
    <row r="80" spans="1:14" ht="19.5" customHeight="1" x14ac:dyDescent="0.25">
      <c r="C80" s="63">
        <v>3</v>
      </c>
      <c r="D80" s="59"/>
      <c r="E80" s="62" t="s">
        <v>23</v>
      </c>
      <c r="F80" s="142">
        <f>F55</f>
        <v>0</v>
      </c>
      <c r="G80" s="147">
        <f>G55</f>
        <v>0</v>
      </c>
      <c r="H80" s="56" t="s">
        <v>25</v>
      </c>
      <c r="I80" s="74">
        <f>H86-(((F80/100)/2)+((F79/100)/2))</f>
        <v>0</v>
      </c>
      <c r="J80" s="56" t="s">
        <v>25</v>
      </c>
      <c r="K80" s="354">
        <f>J86-(((F79/100)/2)+((G79/100)/2))</f>
        <v>0</v>
      </c>
      <c r="L80" s="354"/>
      <c r="M80" s="56" t="s">
        <v>25</v>
      </c>
      <c r="N80" s="74">
        <f>M86-(((F79/100)/2)+((F80/100)/2))</f>
        <v>0</v>
      </c>
    </row>
    <row r="81" spans="3:16" ht="23.25" customHeight="1" x14ac:dyDescent="0.25">
      <c r="C81" s="63">
        <v>2</v>
      </c>
      <c r="D81" s="59"/>
      <c r="E81" s="59"/>
      <c r="F81" s="142"/>
      <c r="G81" s="143"/>
      <c r="H81" s="80" t="s">
        <v>28</v>
      </c>
      <c r="J81" s="80" t="s">
        <v>28</v>
      </c>
      <c r="M81" s="80" t="s">
        <v>28</v>
      </c>
    </row>
    <row r="82" spans="3:16" ht="21" customHeight="1" x14ac:dyDescent="0.25">
      <c r="C82" s="64">
        <v>1</v>
      </c>
      <c r="D82" s="60"/>
      <c r="E82" s="60"/>
    </row>
    <row r="83" spans="3:16" x14ac:dyDescent="0.25">
      <c r="C83" s="61"/>
      <c r="D83" s="61"/>
      <c r="E83" s="61"/>
    </row>
    <row r="84" spans="3:16" x14ac:dyDescent="0.25">
      <c r="C84" s="75"/>
      <c r="D84" s="76"/>
      <c r="E84" s="77"/>
    </row>
    <row r="86" spans="3:16" x14ac:dyDescent="0.25">
      <c r="H86" s="361">
        <f>C84</f>
        <v>0</v>
      </c>
      <c r="I86" s="361"/>
      <c r="J86" s="355">
        <f>D84</f>
        <v>0</v>
      </c>
      <c r="K86" s="355"/>
      <c r="L86" s="355"/>
      <c r="M86" s="355">
        <f>E84</f>
        <v>0</v>
      </c>
      <c r="N86" s="355"/>
      <c r="O86" s="355"/>
      <c r="P86" s="355"/>
    </row>
    <row r="88" spans="3:16" x14ac:dyDescent="0.25">
      <c r="H88" s="66"/>
      <c r="I88" s="66"/>
      <c r="J88" s="66"/>
      <c r="K88" s="66"/>
      <c r="L88" s="66"/>
      <c r="M88" s="66"/>
      <c r="N88" s="66"/>
      <c r="O88" s="66"/>
      <c r="P88" s="66"/>
    </row>
    <row r="89" spans="3:16" x14ac:dyDescent="0.25">
      <c r="H89" s="66"/>
      <c r="I89" s="66"/>
      <c r="J89" s="66"/>
      <c r="K89" s="66"/>
      <c r="L89" s="66"/>
      <c r="M89" s="66"/>
      <c r="N89" s="66"/>
      <c r="O89" s="66"/>
      <c r="P89" s="66"/>
    </row>
    <row r="91" spans="3:16" ht="18.75" x14ac:dyDescent="0.4">
      <c r="C91" s="78" t="s">
        <v>30</v>
      </c>
    </row>
    <row r="93" spans="3:16" ht="21" x14ac:dyDescent="0.35">
      <c r="C93" s="59" t="s">
        <v>86</v>
      </c>
      <c r="D93" s="89"/>
      <c r="F93" s="88" t="s">
        <v>32</v>
      </c>
      <c r="G93" s="179"/>
      <c r="I93" s="88" t="s">
        <v>33</v>
      </c>
      <c r="J93" s="363"/>
      <c r="K93" s="363"/>
      <c r="L93" s="363"/>
    </row>
    <row r="94" spans="3:16" ht="26.25" x14ac:dyDescent="0.4">
      <c r="C94" s="59" t="s">
        <v>87</v>
      </c>
      <c r="D94" s="90"/>
      <c r="F94" s="87" t="s">
        <v>35</v>
      </c>
      <c r="G94" s="91"/>
      <c r="I94" s="88" t="s">
        <v>34</v>
      </c>
      <c r="J94" s="364"/>
      <c r="K94" s="364"/>
      <c r="L94" s="364"/>
    </row>
    <row r="95" spans="3:16" ht="23.25" x14ac:dyDescent="0.35">
      <c r="C95" s="59" t="s">
        <v>88</v>
      </c>
      <c r="D95" s="90"/>
      <c r="F95" s="87" t="s">
        <v>31</v>
      </c>
      <c r="G95" s="92"/>
      <c r="I95" s="178" t="s">
        <v>77</v>
      </c>
      <c r="J95" s="386"/>
      <c r="K95" s="386"/>
      <c r="L95" s="386"/>
    </row>
    <row r="96" spans="3:16" x14ac:dyDescent="0.25">
      <c r="J96" s="159"/>
    </row>
    <row r="97" spans="1:14" ht="21" x14ac:dyDescent="0.35">
      <c r="C97" s="173" t="s">
        <v>89</v>
      </c>
      <c r="D97" s="174">
        <f>D93+D94+D95</f>
        <v>0</v>
      </c>
      <c r="G97" s="159"/>
      <c r="H97" s="388" t="s">
        <v>157</v>
      </c>
      <c r="I97" s="388"/>
      <c r="J97" s="144"/>
      <c r="K97" s="159" t="s">
        <v>12</v>
      </c>
      <c r="L97" s="144"/>
      <c r="M97" t="s">
        <v>97</v>
      </c>
    </row>
    <row r="99" spans="1:14" x14ac:dyDescent="0.25">
      <c r="A99" s="365" t="s">
        <v>74</v>
      </c>
      <c r="B99" s="365"/>
      <c r="C99" s="365"/>
      <c r="D99" s="365"/>
      <c r="E99" s="365"/>
      <c r="F99" s="365"/>
      <c r="G99" s="365"/>
      <c r="H99" s="365"/>
      <c r="I99" s="365"/>
      <c r="J99" s="365"/>
      <c r="K99" s="365"/>
      <c r="L99" s="365"/>
      <c r="M99" s="365"/>
      <c r="N99" s="365"/>
    </row>
    <row r="101" spans="1:14" x14ac:dyDescent="0.25">
      <c r="E101" t="s">
        <v>37</v>
      </c>
    </row>
    <row r="102" spans="1:14" ht="15.75" x14ac:dyDescent="0.25">
      <c r="C102" t="s">
        <v>36</v>
      </c>
      <c r="D102" s="93">
        <f>F42</f>
        <v>0</v>
      </c>
      <c r="E102" s="97"/>
      <c r="F102" s="85" t="s">
        <v>38</v>
      </c>
      <c r="G102" s="96">
        <f>(D102*E102)/1000</f>
        <v>0</v>
      </c>
    </row>
    <row r="104" spans="1:14" x14ac:dyDescent="0.25">
      <c r="C104" t="s">
        <v>39</v>
      </c>
      <c r="D104" s="94">
        <f>D43</f>
        <v>0</v>
      </c>
      <c r="E104" s="98">
        <f>E102</f>
        <v>0</v>
      </c>
      <c r="F104" s="85" t="s">
        <v>38</v>
      </c>
      <c r="G104" s="95">
        <f>(D104*E104)/1000</f>
        <v>0</v>
      </c>
    </row>
    <row r="106" spans="1:14" x14ac:dyDescent="0.25">
      <c r="D106" s="85" t="s">
        <v>41</v>
      </c>
      <c r="E106" s="171">
        <f>G102-G104</f>
        <v>0</v>
      </c>
    </row>
    <row r="107" spans="1:14" x14ac:dyDescent="0.25">
      <c r="D107" s="85" t="s">
        <v>40</v>
      </c>
      <c r="E107" s="172">
        <f>G104</f>
        <v>0</v>
      </c>
    </row>
    <row r="108" spans="1:14" x14ac:dyDescent="0.25">
      <c r="D108" s="159"/>
      <c r="E108" s="176"/>
    </row>
    <row r="109" spans="1:14" x14ac:dyDescent="0.25">
      <c r="A109" s="358" t="s">
        <v>75</v>
      </c>
      <c r="B109" s="358"/>
      <c r="C109" s="358"/>
      <c r="D109" s="358"/>
      <c r="E109" s="358"/>
      <c r="F109" s="358"/>
      <c r="G109" s="358"/>
      <c r="H109" s="358"/>
      <c r="I109" s="358"/>
      <c r="J109" s="358"/>
      <c r="K109" s="358"/>
      <c r="L109" s="358"/>
      <c r="M109" s="358"/>
      <c r="N109" s="358"/>
    </row>
    <row r="110" spans="1:14" x14ac:dyDescent="0.25">
      <c r="D110" s="175"/>
      <c r="E110" s="176"/>
      <c r="F110" s="2"/>
    </row>
    <row r="111" spans="1:14" ht="21" x14ac:dyDescent="0.35">
      <c r="C111" s="366" t="s">
        <v>76</v>
      </c>
      <c r="D111" s="366"/>
      <c r="E111" s="366"/>
      <c r="F111" s="366"/>
      <c r="G111" s="366"/>
    </row>
    <row r="113" spans="1:14" x14ac:dyDescent="0.25">
      <c r="D113" s="159" t="s">
        <v>78</v>
      </c>
      <c r="E113" s="159">
        <f>G94*10</f>
        <v>0</v>
      </c>
      <c r="F113" s="180">
        <f>G95</f>
        <v>0</v>
      </c>
      <c r="G113" s="181">
        <f>G93</f>
        <v>0</v>
      </c>
      <c r="H113" s="161">
        <f>J95/1000</f>
        <v>0</v>
      </c>
    </row>
    <row r="115" spans="1:14" x14ac:dyDescent="0.25">
      <c r="D115" s="182" t="s">
        <v>78</v>
      </c>
      <c r="E115" s="387">
        <f>E113-(F113*G113)-H113</f>
        <v>0</v>
      </c>
      <c r="F115" s="387"/>
    </row>
    <row r="117" spans="1:14" x14ac:dyDescent="0.25">
      <c r="A117" s="358" t="s">
        <v>79</v>
      </c>
      <c r="B117" s="358"/>
      <c r="C117" s="358"/>
      <c r="D117" s="358"/>
      <c r="E117" s="358"/>
      <c r="F117" s="358"/>
      <c r="G117" s="358"/>
      <c r="H117" s="358"/>
      <c r="I117" s="358"/>
      <c r="J117" s="358"/>
      <c r="K117" s="358"/>
      <c r="L117" s="358"/>
      <c r="M117" s="358"/>
      <c r="N117" s="358"/>
    </row>
    <row r="119" spans="1:14" ht="21" x14ac:dyDescent="0.35">
      <c r="C119" s="185"/>
      <c r="D119" s="184" t="s">
        <v>81</v>
      </c>
      <c r="E119" s="187"/>
    </row>
    <row r="120" spans="1:14" ht="15.75" x14ac:dyDescent="0.25">
      <c r="C120" s="186"/>
      <c r="D120" s="183" t="s">
        <v>80</v>
      </c>
      <c r="E120" s="188"/>
    </row>
    <row r="121" spans="1:14" ht="15.75" x14ac:dyDescent="0.25">
      <c r="C121" s="61"/>
      <c r="D121" s="189"/>
      <c r="E121" s="61"/>
    </row>
    <row r="122" spans="1:14" ht="15.75" x14ac:dyDescent="0.25">
      <c r="C122" s="61"/>
      <c r="D122" s="189" t="s">
        <v>82</v>
      </c>
      <c r="E122" s="191">
        <f>G102</f>
        <v>0</v>
      </c>
      <c r="F122" s="192" t="e">
        <f>(E122/E123)</f>
        <v>#DIV/0!</v>
      </c>
      <c r="G122" s="158" t="s">
        <v>83</v>
      </c>
      <c r="H122" s="194" t="e">
        <f>F122^0.5</f>
        <v>#DIV/0!</v>
      </c>
      <c r="I122" s="193" t="e">
        <f>H122</f>
        <v>#DIV/0!</v>
      </c>
    </row>
    <row r="123" spans="1:14" ht="15.75" x14ac:dyDescent="0.25">
      <c r="C123" s="61"/>
      <c r="D123" s="189"/>
      <c r="E123" s="190">
        <f>E115</f>
        <v>0</v>
      </c>
      <c r="F123" s="190"/>
    </row>
    <row r="124" spans="1:14" ht="15.75" x14ac:dyDescent="0.25">
      <c r="C124" s="61"/>
      <c r="D124" s="189"/>
      <c r="E124" s="61"/>
    </row>
    <row r="125" spans="1:14" x14ac:dyDescent="0.25">
      <c r="C125" t="s">
        <v>65</v>
      </c>
      <c r="D125" s="144"/>
      <c r="E125" s="145"/>
    </row>
    <row r="127" spans="1:14" x14ac:dyDescent="0.25">
      <c r="A127" s="358" t="s">
        <v>84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358"/>
      <c r="L127" s="358"/>
      <c r="M127" s="358"/>
      <c r="N127" s="358"/>
    </row>
    <row r="129" spans="1:15" x14ac:dyDescent="0.25">
      <c r="C129" t="s">
        <v>42</v>
      </c>
      <c r="E129" t="s">
        <v>38</v>
      </c>
      <c r="F129" s="101">
        <f>D93</f>
        <v>0</v>
      </c>
      <c r="G129" s="102">
        <f>D94</f>
        <v>0</v>
      </c>
      <c r="H129" s="85" t="s">
        <v>38</v>
      </c>
      <c r="I129" s="103">
        <f>F129+G129</f>
        <v>0</v>
      </c>
    </row>
    <row r="131" spans="1:15" ht="15.75" x14ac:dyDescent="0.25">
      <c r="C131" s="85" t="s">
        <v>43</v>
      </c>
      <c r="D131" s="104">
        <f>I129</f>
        <v>0</v>
      </c>
      <c r="E131" s="85" t="s">
        <v>38</v>
      </c>
      <c r="F131" s="197" t="e">
        <f>D131/D132</f>
        <v>#DIV/0!</v>
      </c>
      <c r="G131" s="109" t="e">
        <f>IF(F131&lt;I131,"&lt;","&gt;")</f>
        <v>#DIV/0!</v>
      </c>
      <c r="H131" s="265">
        <f>E125</f>
        <v>0</v>
      </c>
      <c r="I131" s="108">
        <f>H131/H132</f>
        <v>0</v>
      </c>
      <c r="K131" s="365" t="e">
        <f>IF(F131&lt;I131,"SE COMPORTA COMO UN TRAPEZOIDAL  !", "SE COMPORTA COMO UN TRIANGULAR")</f>
        <v>#DIV/0!</v>
      </c>
      <c r="L131" s="365"/>
      <c r="M131" s="365"/>
      <c r="N131" s="365"/>
    </row>
    <row r="132" spans="1:15" x14ac:dyDescent="0.25">
      <c r="D132" s="95">
        <f>G102</f>
        <v>0</v>
      </c>
      <c r="H132" s="106">
        <v>6</v>
      </c>
    </row>
    <row r="133" spans="1:15" x14ac:dyDescent="0.25">
      <c r="D133" s="95"/>
      <c r="H133" s="106"/>
    </row>
    <row r="134" spans="1:15" x14ac:dyDescent="0.25">
      <c r="A134" s="358" t="s">
        <v>85</v>
      </c>
      <c r="B134" s="358"/>
      <c r="C134" s="358"/>
      <c r="D134" s="358"/>
      <c r="E134" s="358"/>
      <c r="F134" s="358"/>
      <c r="G134" s="358"/>
      <c r="H134" s="358"/>
      <c r="I134" s="358"/>
      <c r="J134" s="358"/>
      <c r="K134" s="358"/>
      <c r="L134" s="358"/>
      <c r="M134" s="358"/>
      <c r="N134" s="358"/>
    </row>
    <row r="136" spans="1:15" ht="23.25" x14ac:dyDescent="0.35">
      <c r="C136" s="113" t="s">
        <v>44</v>
      </c>
      <c r="D136" s="112">
        <f>G102</f>
        <v>0</v>
      </c>
      <c r="E136" s="115" t="s">
        <v>45</v>
      </c>
      <c r="F136" s="114">
        <f>I129</f>
        <v>0</v>
      </c>
      <c r="G136" s="86" t="s">
        <v>46</v>
      </c>
      <c r="H136" s="122" t="e">
        <f>ROUND(((D136)/(D137)^2)+((6*F136)/(E137^3)),2)</f>
        <v>#DIV/0!</v>
      </c>
      <c r="I136" t="e">
        <f>IF(H136&gt;N136,"&gt;","&lt;")</f>
        <v>#DIV/0!</v>
      </c>
      <c r="J136" s="116">
        <v>1.25</v>
      </c>
      <c r="K136" s="368">
        <f>E115</f>
        <v>0</v>
      </c>
      <c r="L136" s="368"/>
      <c r="M136" s="368"/>
      <c r="N136" s="362">
        <f>J136*K136</f>
        <v>0</v>
      </c>
      <c r="O136" s="362"/>
    </row>
    <row r="137" spans="1:15" ht="21" customHeight="1" x14ac:dyDescent="0.25">
      <c r="D137" s="84">
        <f>D125</f>
        <v>0</v>
      </c>
      <c r="E137" s="354">
        <f>D137</f>
        <v>0</v>
      </c>
      <c r="F137" s="355"/>
      <c r="G137" s="86" t="s">
        <v>159</v>
      </c>
      <c r="H137" s="122" t="e">
        <f>ROUND(((D136)/(D137)^2)-((6*F136)/(E137^3)),2)</f>
        <v>#DIV/0!</v>
      </c>
      <c r="I137" s="365" t="e">
        <f>IF(H136&gt;N136,"NO CUMPLE   ( aumentar dimensiones)","CUMPLE")</f>
        <v>#DIV/0!</v>
      </c>
      <c r="J137" s="365"/>
      <c r="K137" s="365"/>
      <c r="L137" s="365"/>
    </row>
    <row r="139" spans="1:15" x14ac:dyDescent="0.25">
      <c r="D139" t="s">
        <v>47</v>
      </c>
    </row>
    <row r="141" spans="1:15" x14ac:dyDescent="0.25">
      <c r="C141" s="110" t="s">
        <v>48</v>
      </c>
      <c r="D141" s="145"/>
      <c r="E141" s="105"/>
      <c r="F141" s="105"/>
    </row>
    <row r="142" spans="1:15" ht="23.25" x14ac:dyDescent="0.35">
      <c r="C142" s="113" t="s">
        <v>44</v>
      </c>
      <c r="D142" s="112">
        <f>D136</f>
        <v>0</v>
      </c>
      <c r="E142" s="115" t="s">
        <v>45</v>
      </c>
      <c r="F142" s="114">
        <f>F136</f>
        <v>0</v>
      </c>
      <c r="G142" s="86" t="s">
        <v>46</v>
      </c>
      <c r="H142" s="122" t="e">
        <f>ROUND(((D142)/(D143)^2)+((6*F142)/(E143^3)),2)</f>
        <v>#DIV/0!</v>
      </c>
      <c r="I142" t="e">
        <f>IF(H142&gt;N142,"&gt;","&lt;")</f>
        <v>#DIV/0!</v>
      </c>
      <c r="J142" s="116">
        <v>1.25</v>
      </c>
      <c r="K142" s="368">
        <f>K136</f>
        <v>0</v>
      </c>
      <c r="L142" s="368"/>
      <c r="M142" s="368"/>
      <c r="N142" s="362">
        <f>J142*K142</f>
        <v>0</v>
      </c>
      <c r="O142" s="362"/>
    </row>
    <row r="143" spans="1:15" x14ac:dyDescent="0.25">
      <c r="D143" s="84">
        <f>D141</f>
        <v>0</v>
      </c>
      <c r="E143" s="354">
        <f>D143</f>
        <v>0</v>
      </c>
      <c r="F143" s="355"/>
      <c r="G143" s="86" t="s">
        <v>159</v>
      </c>
      <c r="H143" s="122" t="e">
        <f>ROUND(((D142)/(D143)^2)-((6*F142)/(E143^3)),2)</f>
        <v>#DIV/0!</v>
      </c>
      <c r="I143" s="365" t="e">
        <f>IF(H142&gt;N142,"NO CUMPLE","CUMPLE !!")</f>
        <v>#DIV/0!</v>
      </c>
      <c r="J143" s="365"/>
    </row>
    <row r="145" spans="1:14" ht="21.75" customHeight="1" x14ac:dyDescent="0.25">
      <c r="C145" t="s">
        <v>49</v>
      </c>
      <c r="D145" s="118" t="s">
        <v>48</v>
      </c>
      <c r="E145" s="119">
        <f>D141</f>
        <v>0</v>
      </c>
      <c r="F145" s="120">
        <f>E145</f>
        <v>0</v>
      </c>
    </row>
    <row r="146" spans="1:14" x14ac:dyDescent="0.25">
      <c r="E146" s="121"/>
      <c r="F146" s="121"/>
    </row>
    <row r="147" spans="1:14" x14ac:dyDescent="0.25">
      <c r="A147" s="358" t="s">
        <v>90</v>
      </c>
      <c r="B147" s="358"/>
      <c r="C147" s="358"/>
      <c r="D147" s="358"/>
      <c r="E147" s="358"/>
      <c r="F147" s="358"/>
      <c r="G147" s="358"/>
      <c r="H147" s="358"/>
      <c r="I147" s="358"/>
      <c r="J147" s="358"/>
      <c r="K147" s="358"/>
      <c r="L147" s="358"/>
      <c r="M147" s="358"/>
      <c r="N147" s="358"/>
    </row>
    <row r="149" spans="1:14" ht="7.5" customHeight="1" x14ac:dyDescent="0.25"/>
    <row r="150" spans="1:14" x14ac:dyDescent="0.25">
      <c r="C150" t="s">
        <v>50</v>
      </c>
      <c r="F150" s="85" t="s">
        <v>51</v>
      </c>
      <c r="G150" s="123">
        <f>E106</f>
        <v>0</v>
      </c>
      <c r="H150" s="124">
        <f>E107</f>
        <v>0</v>
      </c>
    </row>
    <row r="152" spans="1:14" x14ac:dyDescent="0.25">
      <c r="F152" s="199" t="s">
        <v>51</v>
      </c>
      <c r="G152" s="201">
        <f>1.5*(G150)+1.8*(H150)</f>
        <v>0</v>
      </c>
    </row>
    <row r="154" spans="1:14" x14ac:dyDescent="0.25">
      <c r="F154" s="159" t="s">
        <v>91</v>
      </c>
      <c r="G154" s="123">
        <f>D93</f>
        <v>0</v>
      </c>
      <c r="H154" s="124">
        <f>D94</f>
        <v>0</v>
      </c>
    </row>
    <row r="156" spans="1:14" x14ac:dyDescent="0.25">
      <c r="F156" s="206" t="s">
        <v>91</v>
      </c>
      <c r="G156" s="207">
        <f>1.5*(G154)+1.8*(H154)</f>
        <v>0</v>
      </c>
    </row>
    <row r="158" spans="1:14" x14ac:dyDescent="0.25">
      <c r="F158" s="159"/>
    </row>
    <row r="159" spans="1:14" x14ac:dyDescent="0.25">
      <c r="A159" s="358" t="s">
        <v>92</v>
      </c>
      <c r="B159" s="358"/>
      <c r="C159" s="358"/>
      <c r="D159" s="358"/>
      <c r="E159" s="358"/>
      <c r="F159" s="358"/>
      <c r="G159" s="358"/>
      <c r="H159" s="358"/>
      <c r="I159" s="358"/>
      <c r="J159" s="358"/>
      <c r="K159" s="358"/>
      <c r="L159" s="358"/>
      <c r="M159" s="358"/>
      <c r="N159" s="358"/>
    </row>
    <row r="161" spans="1:17" ht="23.25" x14ac:dyDescent="0.35">
      <c r="C161" s="113" t="s">
        <v>44</v>
      </c>
      <c r="D161" s="112">
        <f>G152</f>
        <v>0</v>
      </c>
      <c r="E161" s="115" t="s">
        <v>45</v>
      </c>
      <c r="F161" s="114">
        <f>G156</f>
        <v>0</v>
      </c>
      <c r="G161" s="86" t="s">
        <v>46</v>
      </c>
      <c r="H161" s="122" t="e">
        <f>ROUND(((D161)/(D162)^2)+((6*F161)/(E162^3)),2)</f>
        <v>#DIV/0!</v>
      </c>
    </row>
    <row r="162" spans="1:17" x14ac:dyDescent="0.25">
      <c r="D162" s="84">
        <f>E145</f>
        <v>0</v>
      </c>
      <c r="E162" s="354">
        <f>F145</f>
        <v>0</v>
      </c>
      <c r="F162" s="355"/>
      <c r="G162" s="86" t="s">
        <v>159</v>
      </c>
      <c r="H162" s="122" t="e">
        <f>ROUND(((D161)/(D162)^2)-((6*F161)/(E162^3)),2)</f>
        <v>#DIV/0!</v>
      </c>
    </row>
    <row r="164" spans="1:17" x14ac:dyDescent="0.25">
      <c r="A164" s="358" t="s">
        <v>93</v>
      </c>
      <c r="B164" s="358"/>
      <c r="C164" s="358"/>
      <c r="D164" s="358"/>
      <c r="E164" s="358"/>
      <c r="F164" s="358"/>
      <c r="G164" s="358"/>
      <c r="H164" s="358"/>
      <c r="I164" s="358"/>
      <c r="J164" s="358"/>
      <c r="K164" s="358"/>
      <c r="L164" s="358"/>
      <c r="M164" s="358"/>
      <c r="N164" s="358"/>
    </row>
    <row r="167" spans="1:17" x14ac:dyDescent="0.25">
      <c r="C167" t="s">
        <v>52</v>
      </c>
      <c r="G167" t="s">
        <v>55</v>
      </c>
    </row>
    <row r="168" spans="1:17" x14ac:dyDescent="0.25">
      <c r="E168" t="s">
        <v>99</v>
      </c>
    </row>
    <row r="169" spans="1:17" x14ac:dyDescent="0.25">
      <c r="C169" s="159" t="s">
        <v>53</v>
      </c>
      <c r="D169" s="269">
        <f>E145</f>
        <v>0</v>
      </c>
      <c r="E169" s="208">
        <f>J97</f>
        <v>0</v>
      </c>
    </row>
    <row r="170" spans="1:17" x14ac:dyDescent="0.25">
      <c r="D170" s="162">
        <v>2</v>
      </c>
      <c r="E170" s="162"/>
      <c r="G170" s="360" t="s">
        <v>94</v>
      </c>
      <c r="H170" s="360"/>
      <c r="I170" s="360"/>
      <c r="J170" s="360"/>
      <c r="L170" s="359" t="s">
        <v>95</v>
      </c>
      <c r="M170" s="359"/>
      <c r="N170" s="359"/>
      <c r="O170" s="359"/>
      <c r="P170" s="359"/>
    </row>
    <row r="171" spans="1:17" x14ac:dyDescent="0.25">
      <c r="C171" s="159" t="s">
        <v>53</v>
      </c>
      <c r="D171" s="159">
        <f>(D169-E169)/2</f>
        <v>0</v>
      </c>
    </row>
    <row r="172" spans="1:17" ht="18.75" x14ac:dyDescent="0.3">
      <c r="F172" s="158" t="s">
        <v>56</v>
      </c>
      <c r="G172" s="126" t="e">
        <f>H161</f>
        <v>#DIV/0!</v>
      </c>
      <c r="H172" s="127">
        <f>E145</f>
        <v>0</v>
      </c>
      <c r="I172" s="203">
        <f>D171</f>
        <v>0</v>
      </c>
      <c r="J172" t="s">
        <v>54</v>
      </c>
      <c r="K172" s="128" t="s">
        <v>38</v>
      </c>
      <c r="L172" s="159">
        <v>0.85</v>
      </c>
      <c r="M172" s="132">
        <v>0.53</v>
      </c>
      <c r="N172" s="129">
        <f>J93</f>
        <v>0</v>
      </c>
      <c r="O172" s="131">
        <v>10</v>
      </c>
      <c r="P172" s="130">
        <f>D169</f>
        <v>0</v>
      </c>
      <c r="Q172" t="s">
        <v>54</v>
      </c>
    </row>
    <row r="174" spans="1:17" ht="18.75" x14ac:dyDescent="0.3">
      <c r="E174" t="s">
        <v>54</v>
      </c>
      <c r="H174" t="e">
        <f>ROUND(G172*H172*I172,2)</f>
        <v>#DIV/0!</v>
      </c>
      <c r="I174" s="163" t="e">
        <f>G172*H172</f>
        <v>#DIV/0!</v>
      </c>
      <c r="J174" s="163"/>
      <c r="K174" s="128" t="s">
        <v>38</v>
      </c>
      <c r="L174" s="384">
        <f>ROUND(L172*M172*(N172^0.5)*O172*P172,2)</f>
        <v>0</v>
      </c>
      <c r="M174" s="384"/>
    </row>
    <row r="175" spans="1:17" x14ac:dyDescent="0.25">
      <c r="C175" s="361">
        <f>D171</f>
        <v>0</v>
      </c>
    </row>
    <row r="176" spans="1:17" x14ac:dyDescent="0.25">
      <c r="C176" s="361"/>
      <c r="H176" s="158" t="s">
        <v>57</v>
      </c>
      <c r="I176" s="133" t="e">
        <f>H174</f>
        <v>#DIV/0!</v>
      </c>
    </row>
    <row r="177" spans="1:14" x14ac:dyDescent="0.25">
      <c r="I177" s="107" t="e">
        <f>L174+I174</f>
        <v>#DIV/0!</v>
      </c>
    </row>
    <row r="178" spans="1:14" ht="15.75" x14ac:dyDescent="0.25">
      <c r="F178" s="215" t="s">
        <v>107</v>
      </c>
    </row>
    <row r="179" spans="1:14" x14ac:dyDescent="0.25">
      <c r="H179" s="158" t="s">
        <v>57</v>
      </c>
      <c r="I179" s="159" t="e">
        <f>ROUND(I176/I177,2)</f>
        <v>#DIV/0!</v>
      </c>
    </row>
    <row r="180" spans="1:14" x14ac:dyDescent="0.25">
      <c r="B180" s="126" t="e">
        <f>H162</f>
        <v>#DIV/0!</v>
      </c>
      <c r="H180" s="158" t="s">
        <v>58</v>
      </c>
      <c r="I180" s="159" t="e">
        <f>I179+0.1</f>
        <v>#DIV/0!</v>
      </c>
    </row>
    <row r="181" spans="1:14" ht="16.5" customHeight="1" x14ac:dyDescent="0.25">
      <c r="E181" s="211"/>
      <c r="F181" s="247" t="e">
        <f>F183-B180</f>
        <v>#DIV/0!</v>
      </c>
    </row>
    <row r="182" spans="1:14" x14ac:dyDescent="0.25">
      <c r="D182" s="66" t="s">
        <v>106</v>
      </c>
      <c r="G182" s="158" t="s">
        <v>73</v>
      </c>
      <c r="H182" s="144"/>
      <c r="I182" t="s">
        <v>158</v>
      </c>
    </row>
    <row r="183" spans="1:14" ht="25.5" customHeight="1" x14ac:dyDescent="0.25">
      <c r="C183" s="214">
        <f>C175+E169</f>
        <v>0</v>
      </c>
      <c r="F183" s="213" t="e">
        <f>H161</f>
        <v>#DIV/0!</v>
      </c>
      <c r="G183" s="158" t="s">
        <v>57</v>
      </c>
      <c r="H183" s="160">
        <f>H182-(0.075+(0.019/2))</f>
        <v>-8.4499999999999992E-2</v>
      </c>
      <c r="I183" t="s">
        <v>158</v>
      </c>
    </row>
    <row r="184" spans="1:14" x14ac:dyDescent="0.25">
      <c r="D184" s="219">
        <f>D169</f>
        <v>0</v>
      </c>
      <c r="F184" s="117"/>
      <c r="G184" s="158"/>
      <c r="H184" s="160"/>
    </row>
    <row r="185" spans="1:14" x14ac:dyDescent="0.25">
      <c r="B185" s="217" t="s">
        <v>106</v>
      </c>
      <c r="C185" s="248" t="e">
        <f>F181</f>
        <v>#DIV/0!</v>
      </c>
      <c r="D185" s="158" t="s">
        <v>108</v>
      </c>
      <c r="E185" s="213" t="e">
        <f>(C185/C186)*B186</f>
        <v>#DIV/0!</v>
      </c>
      <c r="F185" s="117"/>
      <c r="G185" s="158"/>
      <c r="H185" s="160"/>
    </row>
    <row r="186" spans="1:14" x14ac:dyDescent="0.25">
      <c r="B186" s="160">
        <f>C183</f>
        <v>0</v>
      </c>
      <c r="C186" s="216">
        <f>D184</f>
        <v>0</v>
      </c>
      <c r="F186" s="117"/>
      <c r="G186" s="158"/>
      <c r="H186" s="160"/>
    </row>
    <row r="187" spans="1:14" x14ac:dyDescent="0.25">
      <c r="F187" s="117"/>
      <c r="G187" s="158"/>
      <c r="H187" s="160"/>
    </row>
    <row r="188" spans="1:14" ht="15.75" x14ac:dyDescent="0.25">
      <c r="B188" s="218" t="s">
        <v>109</v>
      </c>
      <c r="C188" s="213" t="e">
        <f>E185+B180</f>
        <v>#DIV/0!</v>
      </c>
      <c r="D188" s="213"/>
      <c r="F188" s="117"/>
      <c r="G188" s="158"/>
      <c r="H188" s="160"/>
    </row>
    <row r="189" spans="1:14" x14ac:dyDescent="0.25">
      <c r="G189" s="117"/>
      <c r="H189" s="158"/>
      <c r="I189" s="160"/>
    </row>
    <row r="190" spans="1:14" x14ac:dyDescent="0.25">
      <c r="G190" s="117"/>
      <c r="H190" s="158"/>
      <c r="I190" s="160"/>
    </row>
    <row r="192" spans="1:14" x14ac:dyDescent="0.25">
      <c r="A192" s="358" t="s">
        <v>96</v>
      </c>
      <c r="B192" s="358"/>
      <c r="C192" s="358"/>
      <c r="D192" s="358"/>
      <c r="E192" s="358"/>
      <c r="F192" s="358"/>
      <c r="G192" s="358"/>
      <c r="H192" s="358"/>
      <c r="I192" s="358"/>
      <c r="J192" s="358"/>
      <c r="K192" s="358"/>
      <c r="L192" s="358"/>
      <c r="M192" s="358"/>
      <c r="N192" s="358"/>
    </row>
    <row r="194" spans="2:12" x14ac:dyDescent="0.25">
      <c r="I194" s="159" t="s">
        <v>101</v>
      </c>
    </row>
    <row r="195" spans="2:12" x14ac:dyDescent="0.25">
      <c r="F195" t="s">
        <v>67</v>
      </c>
      <c r="G195" s="209">
        <f>ROUND(G152,2)</f>
        <v>0</v>
      </c>
      <c r="H195" s="274" t="e">
        <f>ROUND(B180,2)</f>
        <v>#DIV/0!</v>
      </c>
      <c r="I195" s="210">
        <f>ROUND(J97+H183,2)</f>
        <v>-0.08</v>
      </c>
      <c r="J195" s="73">
        <f>I195</f>
        <v>-0.08</v>
      </c>
    </row>
    <row r="197" spans="2:12" x14ac:dyDescent="0.25">
      <c r="F197" t="s">
        <v>67</v>
      </c>
      <c r="G197" s="200" t="e">
        <f>ROUND(G195-H195*(I195*J195),2)</f>
        <v>#DIV/0!</v>
      </c>
      <c r="H197" t="s">
        <v>68</v>
      </c>
    </row>
    <row r="198" spans="2:12" x14ac:dyDescent="0.25">
      <c r="C198" s="159">
        <f>J97</f>
        <v>0</v>
      </c>
      <c r="D198" s="194">
        <f>ROUND(C198+H183,2)</f>
        <v>-0.08</v>
      </c>
    </row>
    <row r="199" spans="2:12" x14ac:dyDescent="0.25">
      <c r="C199" s="161">
        <f>L97</f>
        <v>0</v>
      </c>
      <c r="F199" t="s">
        <v>69</v>
      </c>
    </row>
    <row r="200" spans="2:12" x14ac:dyDescent="0.25">
      <c r="K200" t="s">
        <v>102</v>
      </c>
    </row>
    <row r="201" spans="2:12" x14ac:dyDescent="0.25">
      <c r="B201" s="204">
        <f>I201^0.5</f>
        <v>0</v>
      </c>
      <c r="F201" t="s">
        <v>70</v>
      </c>
      <c r="G201">
        <v>0.85</v>
      </c>
      <c r="H201" s="159">
        <v>1.06</v>
      </c>
      <c r="I201" s="141">
        <f>J93</f>
        <v>0</v>
      </c>
      <c r="J201" s="85">
        <v>10</v>
      </c>
      <c r="K201" s="160">
        <f>(I195*4)</f>
        <v>-0.32</v>
      </c>
      <c r="L201" s="99">
        <f>ROUND(H183,2)</f>
        <v>-0.08</v>
      </c>
    </row>
    <row r="203" spans="2:12" x14ac:dyDescent="0.25">
      <c r="B203" s="194" t="s">
        <v>103</v>
      </c>
      <c r="C203" s="73">
        <f>D198</f>
        <v>-0.08</v>
      </c>
      <c r="F203" t="s">
        <v>70</v>
      </c>
      <c r="G203" s="205">
        <f>G201*H201*(B201)*J201*K201*L201</f>
        <v>0</v>
      </c>
      <c r="H203" t="s">
        <v>68</v>
      </c>
    </row>
    <row r="205" spans="2:12" x14ac:dyDescent="0.25">
      <c r="B205" t="s">
        <v>104</v>
      </c>
      <c r="C205" s="99">
        <f>C203*D198</f>
        <v>6.4000000000000003E-3</v>
      </c>
      <c r="H205" s="86" t="s">
        <v>72</v>
      </c>
      <c r="I205" s="85" t="e">
        <f>IF(G203&gt;G197,"&gt;","&lt;")</f>
        <v>#DIV/0!</v>
      </c>
      <c r="J205" s="67" t="s">
        <v>71</v>
      </c>
    </row>
    <row r="206" spans="2:12" x14ac:dyDescent="0.25">
      <c r="B206" t="s">
        <v>105</v>
      </c>
      <c r="C206">
        <f>D198*4</f>
        <v>-0.32</v>
      </c>
      <c r="I206" s="177" t="e">
        <f>IF(G203&gt;G197,"OK    !!","NO CUMPLE")</f>
        <v>#DIV/0!</v>
      </c>
      <c r="K206" s="86"/>
    </row>
    <row r="209" spans="1:14" x14ac:dyDescent="0.25">
      <c r="A209" s="358" t="s">
        <v>98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</row>
    <row r="210" spans="1:14" x14ac:dyDescent="0.25">
      <c r="F210" s="161">
        <v>2</v>
      </c>
    </row>
    <row r="211" spans="1:14" x14ac:dyDescent="0.25">
      <c r="B211" s="159" t="s">
        <v>100</v>
      </c>
      <c r="C211" s="275" t="e">
        <f>C188</f>
        <v>#DIV/0!</v>
      </c>
      <c r="D211" s="273">
        <f>E145</f>
        <v>0</v>
      </c>
      <c r="E211" s="111">
        <f>C175</f>
        <v>0</v>
      </c>
      <c r="F211" s="220">
        <f>E211</f>
        <v>0</v>
      </c>
      <c r="G211" s="276" t="e">
        <f>F183-C188</f>
        <v>#DIV/0!</v>
      </c>
      <c r="H211" s="356">
        <f>F211</f>
        <v>0</v>
      </c>
      <c r="I211" s="356"/>
    </row>
    <row r="212" spans="1:14" x14ac:dyDescent="0.25">
      <c r="E212" s="158">
        <v>2</v>
      </c>
      <c r="F212" s="159">
        <v>2</v>
      </c>
      <c r="H212" s="158">
        <v>3</v>
      </c>
    </row>
    <row r="213" spans="1:14" x14ac:dyDescent="0.25">
      <c r="B213" s="159" t="s">
        <v>100</v>
      </c>
      <c r="C213" s="221" t="e">
        <f>(C211*D211*((E211^2)/2)+((F211/2)*G211*(2/3)*H211))</f>
        <v>#DIV/0!</v>
      </c>
    </row>
    <row r="214" spans="1:14" x14ac:dyDescent="0.25">
      <c r="D214" t="s">
        <v>112</v>
      </c>
    </row>
    <row r="215" spans="1:14" x14ac:dyDescent="0.25">
      <c r="D215" s="159" t="s">
        <v>110</v>
      </c>
      <c r="E215" s="357">
        <f>D169*100</f>
        <v>0</v>
      </c>
      <c r="F215" s="357"/>
    </row>
    <row r="216" spans="1:14" x14ac:dyDescent="0.25">
      <c r="D216" s="159" t="s">
        <v>57</v>
      </c>
      <c r="E216" s="222">
        <f>H183*100</f>
        <v>-8.4499999999999993</v>
      </c>
      <c r="F216" s="222"/>
    </row>
    <row r="217" spans="1:14" x14ac:dyDescent="0.25">
      <c r="D217" s="159" t="s">
        <v>33</v>
      </c>
      <c r="E217" s="223">
        <f>J93</f>
        <v>0</v>
      </c>
      <c r="F217" s="223"/>
    </row>
    <row r="218" spans="1:14" x14ac:dyDescent="0.25">
      <c r="D218" s="159" t="s">
        <v>111</v>
      </c>
      <c r="E218" s="223">
        <f>J94</f>
        <v>0</v>
      </c>
      <c r="F218" s="223"/>
    </row>
    <row r="223" spans="1:14" x14ac:dyDescent="0.25">
      <c r="C223" s="161">
        <v>5</v>
      </c>
      <c r="F223" s="159">
        <v>2</v>
      </c>
    </row>
    <row r="224" spans="1:14" ht="15.75" customHeight="1" x14ac:dyDescent="0.25">
      <c r="B224" s="224" t="e">
        <f>C213</f>
        <v>#DIV/0!</v>
      </c>
      <c r="C224" s="225">
        <v>0.9</v>
      </c>
      <c r="D224" s="226">
        <f>E217</f>
        <v>0</v>
      </c>
      <c r="E224" s="227">
        <f>E215</f>
        <v>0</v>
      </c>
      <c r="F224" s="228">
        <f>E216</f>
        <v>-8.4499999999999993</v>
      </c>
      <c r="G224" t="s">
        <v>113</v>
      </c>
    </row>
    <row r="225" spans="2:6" ht="23.25" customHeight="1" x14ac:dyDescent="0.25">
      <c r="B225">
        <v>5</v>
      </c>
      <c r="D225" s="161"/>
    </row>
    <row r="226" spans="2:6" x14ac:dyDescent="0.25">
      <c r="B226" s="229" t="e">
        <f>B224</f>
        <v>#DIV/0!</v>
      </c>
      <c r="C226" s="159" t="s">
        <v>38</v>
      </c>
      <c r="D226" t="s">
        <v>114</v>
      </c>
    </row>
    <row r="227" spans="2:6" x14ac:dyDescent="0.25">
      <c r="B227" s="158">
        <f>C224*D224*E224*(F224^2)</f>
        <v>0</v>
      </c>
    </row>
    <row r="229" spans="2:6" x14ac:dyDescent="0.25">
      <c r="C229" s="159" t="s">
        <v>115</v>
      </c>
      <c r="D229" s="272">
        <f>1/0.59</f>
        <v>1.6949152542372883</v>
      </c>
      <c r="E229" s="277" t="e">
        <f>((B224*100000)/B227)/0.59</f>
        <v>#DIV/0!</v>
      </c>
      <c r="F229" s="232">
        <f xml:space="preserve">    0</f>
        <v>0</v>
      </c>
    </row>
    <row r="230" spans="2:6" x14ac:dyDescent="0.25">
      <c r="C230" s="159"/>
      <c r="D230" s="230"/>
      <c r="E230" s="231"/>
      <c r="F230" s="232"/>
    </row>
    <row r="231" spans="2:6" x14ac:dyDescent="0.25">
      <c r="C231" s="233" t="s">
        <v>116</v>
      </c>
      <c r="D231" s="234" t="s">
        <v>117</v>
      </c>
      <c r="E231" s="235" t="s">
        <v>118</v>
      </c>
      <c r="F231" s="232"/>
    </row>
    <row r="232" spans="2:6" x14ac:dyDescent="0.25">
      <c r="C232" s="159"/>
      <c r="D232" s="230"/>
      <c r="E232" s="231"/>
      <c r="F232" s="232"/>
    </row>
    <row r="233" spans="2:6" x14ac:dyDescent="0.25">
      <c r="C233" s="159"/>
      <c r="D233" s="230"/>
      <c r="E233" s="231"/>
      <c r="F233" s="232"/>
    </row>
    <row r="234" spans="2:6" x14ac:dyDescent="0.25">
      <c r="C234" s="159"/>
      <c r="D234" s="230"/>
      <c r="E234" s="231"/>
      <c r="F234" s="232"/>
    </row>
    <row r="238" spans="2:6" x14ac:dyDescent="0.25">
      <c r="C238" s="159" t="s">
        <v>119</v>
      </c>
      <c r="D238" s="236" t="e">
        <f>ROUND(((D229)-((D229^2)-(4*E229))^0.5)/2,5)</f>
        <v>#DIV/0!</v>
      </c>
    </row>
    <row r="244" spans="1:14" x14ac:dyDescent="0.25">
      <c r="C244" s="159" t="s">
        <v>120</v>
      </c>
      <c r="D244" t="s">
        <v>122</v>
      </c>
      <c r="E244" s="158" t="s">
        <v>123</v>
      </c>
      <c r="F244" s="237" t="e">
        <f>D238</f>
        <v>#DIV/0!</v>
      </c>
      <c r="G244" s="238">
        <f>E217</f>
        <v>0</v>
      </c>
    </row>
    <row r="245" spans="1:14" x14ac:dyDescent="0.25">
      <c r="D245" s="159" t="s">
        <v>121</v>
      </c>
      <c r="G245" s="223">
        <f>E218</f>
        <v>0</v>
      </c>
    </row>
    <row r="246" spans="1:14" x14ac:dyDescent="0.25">
      <c r="D246" s="266"/>
      <c r="G246" s="267"/>
    </row>
    <row r="247" spans="1:14" ht="20.25" customHeight="1" x14ac:dyDescent="0.25">
      <c r="D247" s="159"/>
      <c r="E247" s="239" t="s">
        <v>123</v>
      </c>
      <c r="F247" s="195" t="e">
        <f>ROUND((F244*G244)/G245,5)</f>
        <v>#DIV/0!</v>
      </c>
      <c r="G247" s="159" t="e">
        <f>IF(F247&gt;I247,"&gt;","&lt;")</f>
        <v>#DIV/0!</v>
      </c>
      <c r="H247" s="177" t="s">
        <v>124</v>
      </c>
      <c r="I247" s="240">
        <v>1.8E-3</v>
      </c>
    </row>
    <row r="248" spans="1:14" ht="20.25" customHeight="1" x14ac:dyDescent="0.25">
      <c r="D248" s="266"/>
      <c r="E248" s="271"/>
      <c r="F248" s="2"/>
      <c r="G248" s="175"/>
      <c r="H248" s="175"/>
      <c r="I248" s="241"/>
    </row>
    <row r="249" spans="1:14" x14ac:dyDescent="0.25">
      <c r="D249" s="159"/>
      <c r="G249" s="242" t="e">
        <f>IF(F247&gt;I247, "USAR CUANTIA NORMAL","USAR CUANTIA MINIMA")</f>
        <v>#DIV/0!</v>
      </c>
    </row>
    <row r="250" spans="1:14" x14ac:dyDescent="0.25">
      <c r="D250" s="159"/>
    </row>
    <row r="251" spans="1:14" x14ac:dyDescent="0.25">
      <c r="D251" s="159" t="s">
        <v>125</v>
      </c>
    </row>
    <row r="252" spans="1:14" x14ac:dyDescent="0.25">
      <c r="D252" s="159"/>
      <c r="E252" s="159" t="s">
        <v>126</v>
      </c>
      <c r="F252" s="196"/>
    </row>
    <row r="253" spans="1:14" x14ac:dyDescent="0.25">
      <c r="A253" s="2"/>
      <c r="B253" s="2"/>
      <c r="C253" s="2"/>
      <c r="D253" s="175"/>
      <c r="E253" s="175"/>
      <c r="F253" s="268"/>
      <c r="G253" s="2"/>
      <c r="H253" s="2"/>
      <c r="I253" s="2"/>
      <c r="J253" s="2"/>
      <c r="K253" s="2"/>
      <c r="L253" s="2"/>
      <c r="M253" s="2"/>
      <c r="N253" s="2"/>
    </row>
    <row r="254" spans="1:14" x14ac:dyDescent="0.25">
      <c r="A254" s="358" t="s">
        <v>127</v>
      </c>
      <c r="B254" s="358"/>
      <c r="C254" s="358"/>
      <c r="D254" s="358"/>
      <c r="E254" s="358"/>
      <c r="F254" s="358"/>
      <c r="G254" s="358"/>
      <c r="H254" s="358"/>
      <c r="I254" s="358"/>
      <c r="J254" s="358"/>
      <c r="K254" s="358"/>
      <c r="L254" s="358"/>
      <c r="M254" s="358"/>
      <c r="N254" s="358"/>
    </row>
    <row r="255" spans="1:14" x14ac:dyDescent="0.25">
      <c r="A255" s="241"/>
      <c r="B255" s="241"/>
      <c r="C255" s="241"/>
      <c r="D255" s="241"/>
      <c r="E255" s="241"/>
      <c r="F255" s="241"/>
      <c r="G255" s="241"/>
      <c r="H255" s="241"/>
      <c r="I255" s="241"/>
      <c r="J255" s="241"/>
      <c r="K255" s="241"/>
      <c r="L255" s="241"/>
      <c r="M255" s="241"/>
      <c r="N255" s="241"/>
    </row>
    <row r="256" spans="1:14" x14ac:dyDescent="0.25">
      <c r="D256" t="s">
        <v>129</v>
      </c>
      <c r="E256" s="355" t="s">
        <v>128</v>
      </c>
      <c r="F256" s="355"/>
    </row>
    <row r="257" spans="4:9" ht="15.75" customHeight="1" x14ac:dyDescent="0.25">
      <c r="E257" s="85" t="s">
        <v>160</v>
      </c>
      <c r="F257" s="85">
        <f>F252</f>
        <v>0</v>
      </c>
      <c r="G257" s="134">
        <f>D169*100</f>
        <v>0</v>
      </c>
      <c r="H257" s="135">
        <f>H183*100</f>
        <v>-8.4499999999999993</v>
      </c>
    </row>
    <row r="258" spans="4:9" ht="22.5" customHeight="1" x14ac:dyDescent="0.25">
      <c r="E258" s="85" t="s">
        <v>160</v>
      </c>
      <c r="F258" s="243">
        <f>F257*G257*H257</f>
        <v>0</v>
      </c>
      <c r="G258" t="s">
        <v>60</v>
      </c>
    </row>
    <row r="260" spans="4:9" x14ac:dyDescent="0.25">
      <c r="E260" t="s">
        <v>161</v>
      </c>
      <c r="F260" s="85" t="s">
        <v>38</v>
      </c>
      <c r="G260" s="244">
        <f>F258</f>
        <v>0</v>
      </c>
    </row>
    <row r="261" spans="4:9" ht="20.25" customHeight="1" x14ac:dyDescent="0.25">
      <c r="D261" t="s">
        <v>61</v>
      </c>
      <c r="E261" s="202" t="s">
        <v>62</v>
      </c>
      <c r="F261" s="211"/>
      <c r="G261" s="212">
        <v>2.85</v>
      </c>
    </row>
    <row r="262" spans="4:9" x14ac:dyDescent="0.25">
      <c r="E262" s="85" t="s">
        <v>131</v>
      </c>
      <c r="F262" s="84">
        <f>G260/G261</f>
        <v>0</v>
      </c>
      <c r="G262" s="249">
        <f>ROUND(F262,0)</f>
        <v>0</v>
      </c>
    </row>
    <row r="263" spans="4:9" x14ac:dyDescent="0.25">
      <c r="D263" t="s">
        <v>63</v>
      </c>
    </row>
    <row r="264" spans="4:9" x14ac:dyDescent="0.25">
      <c r="D264" s="86" t="s">
        <v>64</v>
      </c>
      <c r="E264" s="136">
        <f>D169</f>
        <v>0</v>
      </c>
      <c r="F264" s="137">
        <v>7.4999999999999997E-2</v>
      </c>
      <c r="G264" s="138">
        <v>1.9E-2</v>
      </c>
    </row>
    <row r="265" spans="4:9" x14ac:dyDescent="0.25">
      <c r="E265" s="125">
        <f>G262</f>
        <v>0</v>
      </c>
      <c r="F265" s="85">
        <v>1</v>
      </c>
      <c r="H265" s="85" t="s">
        <v>38</v>
      </c>
      <c r="I265" s="67">
        <f>ROUND((E264-(2*0.15)-G264)/(E265-1),2)</f>
        <v>0.32</v>
      </c>
    </row>
    <row r="266" spans="4:9" x14ac:dyDescent="0.25">
      <c r="I266" s="67"/>
    </row>
    <row r="267" spans="4:9" x14ac:dyDescent="0.25">
      <c r="D267" s="169" t="s">
        <v>65</v>
      </c>
      <c r="E267" s="376">
        <f>G262</f>
        <v>0</v>
      </c>
      <c r="F267" s="376"/>
      <c r="G267" s="245">
        <f>I265</f>
        <v>0.32</v>
      </c>
      <c r="I267" s="67"/>
    </row>
    <row r="268" spans="4:9" x14ac:dyDescent="0.25">
      <c r="I268" s="67"/>
    </row>
    <row r="269" spans="4:9" x14ac:dyDescent="0.25">
      <c r="D269" t="s">
        <v>66</v>
      </c>
      <c r="I269" s="67"/>
    </row>
    <row r="270" spans="4:9" x14ac:dyDescent="0.25">
      <c r="E270" s="85" t="s">
        <v>59</v>
      </c>
      <c r="F270" s="85">
        <f>F252</f>
        <v>0</v>
      </c>
      <c r="G270" s="134">
        <f>G257</f>
        <v>0</v>
      </c>
      <c r="H270" s="135">
        <f>H257</f>
        <v>-8.4499999999999993</v>
      </c>
      <c r="I270" s="67"/>
    </row>
    <row r="271" spans="4:9" ht="19.5" customHeight="1" x14ac:dyDescent="0.25">
      <c r="E271" s="85" t="s">
        <v>59</v>
      </c>
      <c r="F271" s="243">
        <f>F270*G270*H270</f>
        <v>0</v>
      </c>
      <c r="G271" t="s">
        <v>60</v>
      </c>
      <c r="I271" s="67"/>
    </row>
    <row r="272" spans="4:9" x14ac:dyDescent="0.25">
      <c r="I272" s="67"/>
    </row>
    <row r="273" spans="4:9" x14ac:dyDescent="0.25">
      <c r="E273" t="s">
        <v>130</v>
      </c>
      <c r="F273" s="85" t="s">
        <v>38</v>
      </c>
      <c r="G273" s="244">
        <f>F271</f>
        <v>0</v>
      </c>
      <c r="I273" s="67"/>
    </row>
    <row r="274" spans="4:9" ht="19.5" customHeight="1" x14ac:dyDescent="0.25">
      <c r="E274" s="85" t="s">
        <v>62</v>
      </c>
      <c r="G274" s="161">
        <v>2.85</v>
      </c>
      <c r="I274" s="67"/>
    </row>
    <row r="275" spans="4:9" x14ac:dyDescent="0.25">
      <c r="E275" s="85" t="s">
        <v>131</v>
      </c>
      <c r="F275" s="84">
        <f>G273/G274</f>
        <v>0</v>
      </c>
      <c r="G275" s="249">
        <f>ROUND(F275,0)</f>
        <v>0</v>
      </c>
      <c r="I275" s="67"/>
    </row>
    <row r="276" spans="4:9" x14ac:dyDescent="0.25">
      <c r="I276" s="67"/>
    </row>
    <row r="277" spans="4:9" x14ac:dyDescent="0.25">
      <c r="D277" s="86" t="s">
        <v>64</v>
      </c>
      <c r="E277" s="136">
        <f>E264</f>
        <v>0</v>
      </c>
      <c r="F277" s="137">
        <v>7.4999999999999997E-2</v>
      </c>
      <c r="G277" s="138">
        <v>1.9E-2</v>
      </c>
      <c r="I277" s="67"/>
    </row>
    <row r="278" spans="4:9" x14ac:dyDescent="0.25">
      <c r="E278" s="125">
        <f>G275</f>
        <v>0</v>
      </c>
      <c r="F278" s="85">
        <v>1</v>
      </c>
      <c r="H278" s="85" t="s">
        <v>38</v>
      </c>
      <c r="I278" s="67">
        <f>ROUND((E277-(2*0.15)-G277)/(E278-1),2)</f>
        <v>0.32</v>
      </c>
    </row>
    <row r="280" spans="4:9" x14ac:dyDescent="0.25">
      <c r="D280" s="168" t="s">
        <v>65</v>
      </c>
      <c r="E280" s="377">
        <f>G275</f>
        <v>0</v>
      </c>
      <c r="F280" s="377"/>
      <c r="G280" s="246">
        <f>I278</f>
        <v>0.32</v>
      </c>
    </row>
    <row r="282" spans="4:9" x14ac:dyDescent="0.25">
      <c r="E282" s="352">
        <f>E267</f>
        <v>0</v>
      </c>
      <c r="F282" s="353"/>
      <c r="G282" s="140">
        <f>G267</f>
        <v>0.32</v>
      </c>
    </row>
    <row r="290" spans="1:14" x14ac:dyDescent="0.25">
      <c r="F290" s="139">
        <f>E280</f>
        <v>0</v>
      </c>
      <c r="G290" s="140">
        <f>G280</f>
        <v>0.32</v>
      </c>
    </row>
    <row r="292" spans="1:14" x14ac:dyDescent="0.25">
      <c r="A292" s="358" t="s">
        <v>132</v>
      </c>
      <c r="B292" s="358"/>
      <c r="C292" s="358"/>
      <c r="D292" s="358"/>
      <c r="E292" s="358"/>
      <c r="F292" s="358"/>
      <c r="G292" s="358"/>
      <c r="H292" s="358"/>
      <c r="I292" s="358"/>
      <c r="J292" s="358"/>
      <c r="K292" s="358"/>
      <c r="L292" s="358"/>
      <c r="M292" s="358"/>
      <c r="N292" s="358"/>
    </row>
    <row r="295" spans="1:14" x14ac:dyDescent="0.25">
      <c r="D295" t="s">
        <v>133</v>
      </c>
    </row>
    <row r="296" spans="1:14" x14ac:dyDescent="0.25">
      <c r="E296" t="s">
        <v>134</v>
      </c>
    </row>
    <row r="299" spans="1:14" x14ac:dyDescent="0.25">
      <c r="B299" s="159" t="s">
        <v>135</v>
      </c>
      <c r="C299">
        <v>0.06</v>
      </c>
      <c r="D299" s="385">
        <f>E218</f>
        <v>0</v>
      </c>
      <c r="E299" s="385"/>
      <c r="F299" s="251">
        <f>C299*((2.85*D299)/(210^0.5))</f>
        <v>0</v>
      </c>
      <c r="G299" s="159" t="str">
        <f>IF(F299&gt;H299,"&gt;","&lt;")</f>
        <v>&lt;</v>
      </c>
      <c r="H299" s="252">
        <v>45.7</v>
      </c>
    </row>
    <row r="300" spans="1:14" x14ac:dyDescent="0.25">
      <c r="E300" s="250">
        <f>E217</f>
        <v>0</v>
      </c>
    </row>
    <row r="303" spans="1:14" x14ac:dyDescent="0.25">
      <c r="B303" s="159" t="s">
        <v>135</v>
      </c>
      <c r="C303" s="253">
        <f>F299</f>
        <v>0</v>
      </c>
      <c r="D303" s="255">
        <f>C303*0.8</f>
        <v>0</v>
      </c>
      <c r="E303" s="159" t="s">
        <v>136</v>
      </c>
      <c r="F303" t="s">
        <v>137</v>
      </c>
    </row>
    <row r="305" spans="1:14" x14ac:dyDescent="0.25">
      <c r="B305" s="158" t="s">
        <v>138</v>
      </c>
      <c r="C305" s="254">
        <f>D303</f>
        <v>0</v>
      </c>
      <c r="D305" s="159" t="s">
        <v>136</v>
      </c>
      <c r="E305" t="s">
        <v>139</v>
      </c>
      <c r="F305" s="256">
        <f>D171</f>
        <v>0</v>
      </c>
    </row>
    <row r="307" spans="1:14" x14ac:dyDescent="0.25">
      <c r="B307" s="158" t="s">
        <v>138</v>
      </c>
      <c r="C307" s="254">
        <f>C305</f>
        <v>0</v>
      </c>
      <c r="D307" s="159" t="str">
        <f>IF(C307&gt;F307,"&lt;","&gt;")</f>
        <v>&lt;</v>
      </c>
      <c r="E307" t="s">
        <v>139</v>
      </c>
      <c r="F307" s="252">
        <f>(F305-0.075)*100</f>
        <v>-7.5</v>
      </c>
      <c r="G307" s="198" t="str">
        <f>IF(C307&gt;F307, "NO CONFORME","CONFORME")</f>
        <v>NO CONFORME</v>
      </c>
    </row>
    <row r="309" spans="1:14" x14ac:dyDescent="0.25">
      <c r="A309" s="358" t="s">
        <v>140</v>
      </c>
      <c r="B309" s="358"/>
      <c r="C309" s="358"/>
      <c r="D309" s="358"/>
      <c r="E309" s="358"/>
      <c r="F309" s="358"/>
      <c r="G309" s="358"/>
      <c r="H309" s="358"/>
      <c r="I309" s="358"/>
      <c r="J309" s="358"/>
      <c r="K309" s="358"/>
      <c r="L309" s="358"/>
      <c r="M309" s="358"/>
      <c r="N309" s="358"/>
    </row>
    <row r="311" spans="1:14" x14ac:dyDescent="0.25">
      <c r="B311" t="s">
        <v>141</v>
      </c>
    </row>
    <row r="313" spans="1:14" x14ac:dyDescent="0.25">
      <c r="B313" t="s">
        <v>142</v>
      </c>
      <c r="E313" t="s">
        <v>145</v>
      </c>
      <c r="F313" t="s">
        <v>146</v>
      </c>
    </row>
    <row r="314" spans="1:14" x14ac:dyDescent="0.25">
      <c r="B314" s="159" t="s">
        <v>143</v>
      </c>
      <c r="C314" s="264"/>
    </row>
    <row r="315" spans="1:14" x14ac:dyDescent="0.25">
      <c r="B315" s="159" t="s">
        <v>144</v>
      </c>
      <c r="C315" s="100">
        <f>G102</f>
        <v>0</v>
      </c>
      <c r="E315" s="100">
        <f>C315</f>
        <v>0</v>
      </c>
      <c r="F315" s="159" t="s">
        <v>136</v>
      </c>
      <c r="G315" s="257">
        <f>C314</f>
        <v>0</v>
      </c>
      <c r="H315" s="258">
        <f>J97</f>
        <v>0</v>
      </c>
      <c r="I315" s="259">
        <f>H315</f>
        <v>0</v>
      </c>
    </row>
    <row r="317" spans="1:14" x14ac:dyDescent="0.25">
      <c r="E317" s="100">
        <f>E315</f>
        <v>0</v>
      </c>
      <c r="F317" s="159" t="str">
        <f>IF(E317&gt;G317,"&gt;","&lt;")</f>
        <v>&lt;</v>
      </c>
      <c r="G317" s="95">
        <f>0.7*0.85*C314*10*H315*I315</f>
        <v>0</v>
      </c>
      <c r="H317" s="198" t="str">
        <f>IF(G317&gt;E317,"OK !!","NO CUMPLE")</f>
        <v>NO CUMPLE</v>
      </c>
    </row>
    <row r="319" spans="1:14" x14ac:dyDescent="0.25">
      <c r="B319" t="s">
        <v>147</v>
      </c>
    </row>
    <row r="321" spans="2:10" x14ac:dyDescent="0.25">
      <c r="F321" t="s">
        <v>145</v>
      </c>
      <c r="G321" t="s">
        <v>148</v>
      </c>
    </row>
    <row r="324" spans="2:10" x14ac:dyDescent="0.25">
      <c r="C324">
        <f>J97</f>
        <v>0</v>
      </c>
      <c r="E324" s="159" t="s">
        <v>149</v>
      </c>
      <c r="F324" s="262">
        <f>C324</f>
        <v>0</v>
      </c>
    </row>
    <row r="325" spans="2:10" x14ac:dyDescent="0.25">
      <c r="D325" s="158" t="s">
        <v>149</v>
      </c>
      <c r="E325" s="261">
        <f>C330</f>
        <v>0</v>
      </c>
      <c r="F325" s="158">
        <f>C326</f>
        <v>0</v>
      </c>
    </row>
    <row r="326" spans="2:10" x14ac:dyDescent="0.25">
      <c r="C326" s="159">
        <f>C324</f>
        <v>0</v>
      </c>
      <c r="E326" s="159"/>
      <c r="F326" s="159"/>
    </row>
    <row r="327" spans="2:10" x14ac:dyDescent="0.25">
      <c r="E327" s="158" t="s">
        <v>150</v>
      </c>
      <c r="F327" s="161" t="e">
        <f>(F324*E325)/F325</f>
        <v>#DIV/0!</v>
      </c>
    </row>
    <row r="330" spans="2:10" x14ac:dyDescent="0.25">
      <c r="C330" s="260">
        <f>F145</f>
        <v>0</v>
      </c>
      <c r="E330" t="s">
        <v>152</v>
      </c>
      <c r="F330" s="159" t="s">
        <v>38</v>
      </c>
      <c r="G330" s="159" t="e">
        <f>F327*C330</f>
        <v>#DIV/0!</v>
      </c>
    </row>
    <row r="331" spans="2:10" x14ac:dyDescent="0.25">
      <c r="E331" s="158" t="s">
        <v>153</v>
      </c>
      <c r="G331" s="159">
        <f>C326*C324</f>
        <v>0</v>
      </c>
    </row>
    <row r="333" spans="2:10" x14ac:dyDescent="0.25">
      <c r="B333" s="159" t="s">
        <v>143</v>
      </c>
      <c r="C333" s="263">
        <f>J93</f>
        <v>0</v>
      </c>
      <c r="E333" s="158" t="s">
        <v>151</v>
      </c>
      <c r="F333" s="159" t="e">
        <f>(G330/G331)^0.5</f>
        <v>#DIV/0!</v>
      </c>
      <c r="G333" s="159" t="e">
        <f>IF(F333&gt;I333,"&gt;","&lt;")</f>
        <v>#DIV/0!</v>
      </c>
      <c r="H333" s="158" t="s">
        <v>154</v>
      </c>
      <c r="I333" s="159">
        <v>2</v>
      </c>
      <c r="J333" t="s">
        <v>155</v>
      </c>
    </row>
    <row r="334" spans="2:10" x14ac:dyDescent="0.25">
      <c r="B334" s="159" t="s">
        <v>144</v>
      </c>
      <c r="C334" s="100">
        <f>C315</f>
        <v>0</v>
      </c>
      <c r="G334" s="198" t="e">
        <f>IF(F333&gt;I333,"USAR EL    2","USAR EL MENOR")</f>
        <v>#DIV/0!</v>
      </c>
    </row>
    <row r="337" spans="1:14" x14ac:dyDescent="0.25">
      <c r="D337" s="100">
        <f>C334</f>
        <v>0</v>
      </c>
      <c r="E337" s="159" t="s">
        <v>136</v>
      </c>
      <c r="F337" s="375">
        <f>C333</f>
        <v>0</v>
      </c>
      <c r="G337" s="375"/>
      <c r="H337" s="258">
        <f>C326</f>
        <v>0</v>
      </c>
      <c r="I337" s="259">
        <f>H337</f>
        <v>0</v>
      </c>
      <c r="J337" s="259">
        <v>2</v>
      </c>
    </row>
    <row r="339" spans="1:14" x14ac:dyDescent="0.25">
      <c r="D339" s="100">
        <f>D337</f>
        <v>0</v>
      </c>
      <c r="E339" s="159" t="str">
        <f>IF(D339&gt;F339,"&gt;","&lt;")</f>
        <v>&lt;</v>
      </c>
      <c r="F339" s="95">
        <f>0.7*0.85*C333*10*H337*I337*J337</f>
        <v>0</v>
      </c>
      <c r="G339" s="198" t="str">
        <f>IF(D339&gt;F339,"NO CUMPLE","CUMPLE !!")</f>
        <v>CUMPLE !!</v>
      </c>
    </row>
    <row r="341" spans="1:14" x14ac:dyDescent="0.25">
      <c r="A341" s="170"/>
      <c r="B341" s="170"/>
      <c r="C341" s="170"/>
      <c r="D341" s="170"/>
      <c r="E341" s="170"/>
      <c r="F341" s="170"/>
      <c r="G341" s="170"/>
      <c r="H341" s="170"/>
      <c r="I341" s="170"/>
      <c r="J341" s="170"/>
      <c r="K341" s="170"/>
      <c r="L341" s="170"/>
      <c r="M341" s="170"/>
      <c r="N341" s="170"/>
    </row>
  </sheetData>
  <sheetProtection password="C49A" sheet="1" objects="1" scenarios="1"/>
  <mergeCells count="67">
    <mergeCell ref="D3:I4"/>
    <mergeCell ref="A292:N292"/>
    <mergeCell ref="L174:M174"/>
    <mergeCell ref="D299:E299"/>
    <mergeCell ref="A309:N309"/>
    <mergeCell ref="J95:L95"/>
    <mergeCell ref="E115:F115"/>
    <mergeCell ref="A117:N117"/>
    <mergeCell ref="H97:I97"/>
    <mergeCell ref="K30:M30"/>
    <mergeCell ref="M15:N15"/>
    <mergeCell ref="K52:L52"/>
    <mergeCell ref="K49:L49"/>
    <mergeCell ref="K80:L80"/>
    <mergeCell ref="A61:B61"/>
    <mergeCell ref="A63:B63"/>
    <mergeCell ref="F337:G337"/>
    <mergeCell ref="A127:N127"/>
    <mergeCell ref="K131:N131"/>
    <mergeCell ref="A134:N134"/>
    <mergeCell ref="I137:L137"/>
    <mergeCell ref="K142:M142"/>
    <mergeCell ref="N142:O142"/>
    <mergeCell ref="E143:F143"/>
    <mergeCell ref="I143:J143"/>
    <mergeCell ref="E267:F267"/>
    <mergeCell ref="A147:N147"/>
    <mergeCell ref="A159:N159"/>
    <mergeCell ref="A164:N164"/>
    <mergeCell ref="A192:N192"/>
    <mergeCell ref="A209:N209"/>
    <mergeCell ref="E280:F280"/>
    <mergeCell ref="O17:O18"/>
    <mergeCell ref="J15:L15"/>
    <mergeCell ref="B29:C29"/>
    <mergeCell ref="N30:O30"/>
    <mergeCell ref="D43:E43"/>
    <mergeCell ref="O61:P61"/>
    <mergeCell ref="J61:L61"/>
    <mergeCell ref="H61:I61"/>
    <mergeCell ref="M61:N61"/>
    <mergeCell ref="K55:L55"/>
    <mergeCell ref="A65:B65"/>
    <mergeCell ref="A67:B67"/>
    <mergeCell ref="K77:L77"/>
    <mergeCell ref="K74:L74"/>
    <mergeCell ref="E137:F137"/>
    <mergeCell ref="K136:M136"/>
    <mergeCell ref="O86:P86"/>
    <mergeCell ref="H86:I86"/>
    <mergeCell ref="J86:L86"/>
    <mergeCell ref="M86:N86"/>
    <mergeCell ref="N136:O136"/>
    <mergeCell ref="J93:L93"/>
    <mergeCell ref="J94:L94"/>
    <mergeCell ref="A99:N99"/>
    <mergeCell ref="A109:N109"/>
    <mergeCell ref="C111:G111"/>
    <mergeCell ref="E282:F282"/>
    <mergeCell ref="E162:F162"/>
    <mergeCell ref="E256:F256"/>
    <mergeCell ref="H211:I211"/>
    <mergeCell ref="E215:F215"/>
    <mergeCell ref="A254:N254"/>
    <mergeCell ref="L170:P170"/>
    <mergeCell ref="G170:J170"/>
    <mergeCell ref="C175:C17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2:R116"/>
  <sheetViews>
    <sheetView showGridLines="0" tabSelected="1" workbookViewId="0">
      <selection activeCell="M9" sqref="M9"/>
    </sheetView>
  </sheetViews>
  <sheetFormatPr baseColWidth="10" defaultRowHeight="15" x14ac:dyDescent="0.25"/>
  <cols>
    <col min="1" max="1" width="11.42578125" style="301"/>
    <col min="2" max="3" width="11.42578125" style="280"/>
    <col min="4" max="4" width="11.85546875" style="280" bestFit="1" customWidth="1"/>
    <col min="5" max="16384" width="11.42578125" style="280"/>
  </cols>
  <sheetData>
    <row r="2" spans="1:15" s="291" customFormat="1" x14ac:dyDescent="0.25">
      <c r="A2" s="301"/>
      <c r="B2" s="402" t="s">
        <v>186</v>
      </c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</row>
    <row r="3" spans="1:15" s="291" customFormat="1" x14ac:dyDescent="0.25">
      <c r="A3" s="301"/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</row>
    <row r="4" spans="1:15" s="291" customFormat="1" x14ac:dyDescent="0.25">
      <c r="A4" s="351" t="s">
        <v>234</v>
      </c>
      <c r="B4" s="278"/>
      <c r="C4" s="293"/>
      <c r="D4" s="294"/>
      <c r="E4" s="294"/>
      <c r="F4" s="295"/>
    </row>
    <row r="5" spans="1:15" s="291" customFormat="1" x14ac:dyDescent="0.25">
      <c r="A5" s="301"/>
      <c r="B5" s="278"/>
      <c r="C5" s="405" t="s">
        <v>162</v>
      </c>
      <c r="D5" s="406"/>
      <c r="E5" s="294"/>
      <c r="F5" s="295"/>
    </row>
    <row r="6" spans="1:15" s="291" customFormat="1" x14ac:dyDescent="0.25">
      <c r="A6" s="301" t="s">
        <v>230</v>
      </c>
      <c r="B6" s="278"/>
      <c r="C6" s="62" t="s">
        <v>187</v>
      </c>
      <c r="D6" s="345"/>
      <c r="E6" s="300" t="s">
        <v>167</v>
      </c>
      <c r="F6" s="295"/>
      <c r="O6" s="282">
        <v>100</v>
      </c>
    </row>
    <row r="7" spans="1:15" s="291" customFormat="1" x14ac:dyDescent="0.25">
      <c r="A7" s="301" t="s">
        <v>231</v>
      </c>
      <c r="B7" s="278"/>
      <c r="C7" s="62" t="s">
        <v>188</v>
      </c>
      <c r="D7" s="346"/>
      <c r="E7" s="300" t="s">
        <v>167</v>
      </c>
      <c r="F7" s="295"/>
      <c r="O7" s="282">
        <v>170</v>
      </c>
    </row>
    <row r="8" spans="1:15" s="291" customFormat="1" x14ac:dyDescent="0.25">
      <c r="A8" s="301" t="s">
        <v>232</v>
      </c>
      <c r="B8" s="278"/>
      <c r="C8" s="62" t="s">
        <v>189</v>
      </c>
      <c r="D8" s="346"/>
      <c r="E8" s="300" t="s">
        <v>167</v>
      </c>
      <c r="F8" s="295"/>
      <c r="H8" s="292" t="s">
        <v>28</v>
      </c>
      <c r="I8" s="298">
        <f>D7</f>
        <v>0</v>
      </c>
      <c r="K8" s="292" t="s">
        <v>57</v>
      </c>
      <c r="L8" s="298">
        <f>D9</f>
        <v>0</v>
      </c>
      <c r="O8" s="282">
        <v>210</v>
      </c>
    </row>
    <row r="9" spans="1:15" s="291" customFormat="1" x14ac:dyDescent="0.25">
      <c r="A9" s="301" t="s">
        <v>233</v>
      </c>
      <c r="B9" s="278"/>
      <c r="C9" s="62" t="s">
        <v>190</v>
      </c>
      <c r="D9" s="304">
        <f>D7-D8</f>
        <v>0</v>
      </c>
      <c r="E9" s="300" t="s">
        <v>167</v>
      </c>
      <c r="F9" s="295"/>
      <c r="O9" s="282">
        <v>280</v>
      </c>
    </row>
    <row r="10" spans="1:15" s="291" customFormat="1" x14ac:dyDescent="0.25">
      <c r="A10" s="301"/>
      <c r="B10" s="278"/>
      <c r="C10" s="62" t="s">
        <v>191</v>
      </c>
      <c r="D10" s="347"/>
      <c r="E10" s="300" t="s">
        <v>184</v>
      </c>
      <c r="F10" s="295"/>
      <c r="O10" s="282">
        <v>350</v>
      </c>
    </row>
    <row r="11" spans="1:15" s="291" customFormat="1" x14ac:dyDescent="0.25">
      <c r="A11" s="301"/>
      <c r="B11" s="278"/>
      <c r="C11" s="62" t="s">
        <v>34</v>
      </c>
      <c r="D11" s="305">
        <v>4200</v>
      </c>
      <c r="E11" s="300" t="s">
        <v>184</v>
      </c>
      <c r="F11" s="295"/>
      <c r="O11" s="282">
        <v>420</v>
      </c>
    </row>
    <row r="12" spans="1:15" s="291" customFormat="1" x14ac:dyDescent="0.25">
      <c r="A12" s="301"/>
      <c r="B12" s="278"/>
      <c r="C12" s="293"/>
      <c r="D12" s="294"/>
      <c r="E12" s="294"/>
    </row>
    <row r="13" spans="1:15" x14ac:dyDescent="0.25">
      <c r="I13" s="292" t="s">
        <v>110</v>
      </c>
      <c r="J13" s="299">
        <f>D6</f>
        <v>0</v>
      </c>
    </row>
    <row r="14" spans="1:15" s="291" customFormat="1" x14ac:dyDescent="0.25">
      <c r="A14" s="301"/>
      <c r="I14" s="292"/>
      <c r="J14" s="297"/>
    </row>
    <row r="15" spans="1:15" x14ac:dyDescent="0.25">
      <c r="B15" s="281" t="s">
        <v>163</v>
      </c>
      <c r="C15" s="281"/>
      <c r="D15" s="281"/>
      <c r="E15" s="281"/>
      <c r="F15" s="281"/>
      <c r="G15" s="281"/>
      <c r="H15" s="281"/>
      <c r="I15" s="281"/>
      <c r="J15" s="281"/>
      <c r="K15" s="281"/>
      <c r="L15" s="296"/>
      <c r="M15" s="296"/>
    </row>
    <row r="16" spans="1:15" x14ac:dyDescent="0.25">
      <c r="H16" s="280" t="s">
        <v>235</v>
      </c>
    </row>
    <row r="18" spans="2:14" x14ac:dyDescent="0.25">
      <c r="E18" s="284" t="s">
        <v>164</v>
      </c>
      <c r="F18" s="279" t="s">
        <v>192</v>
      </c>
      <c r="I18" s="286" t="s">
        <v>193</v>
      </c>
      <c r="J18" s="306"/>
      <c r="K18" s="280" t="s">
        <v>194</v>
      </c>
    </row>
    <row r="22" spans="2:14" x14ac:dyDescent="0.25">
      <c r="E22" s="284" t="s">
        <v>165</v>
      </c>
      <c r="F22" s="301" t="s">
        <v>158</v>
      </c>
      <c r="K22" s="303" t="s">
        <v>195</v>
      </c>
    </row>
    <row r="25" spans="2:14" x14ac:dyDescent="0.25">
      <c r="H25" s="286"/>
    </row>
    <row r="26" spans="2:14" x14ac:dyDescent="0.25">
      <c r="B26" s="281" t="s">
        <v>166</v>
      </c>
      <c r="C26" s="281" t="s">
        <v>196</v>
      </c>
      <c r="D26" s="281"/>
      <c r="E26" s="281"/>
      <c r="F26" s="281"/>
      <c r="G26" s="281"/>
      <c r="H26" s="281"/>
      <c r="I26" s="281"/>
      <c r="J26" s="281"/>
      <c r="K26" s="281"/>
      <c r="L26" s="281"/>
      <c r="M26" s="281"/>
    </row>
    <row r="28" spans="2:14" s="301" customFormat="1" x14ac:dyDescent="0.25"/>
    <row r="29" spans="2:14" s="301" customFormat="1" x14ac:dyDescent="0.25">
      <c r="M29" s="282" t="s">
        <v>228</v>
      </c>
      <c r="N29" s="204">
        <v>0.75</v>
      </c>
    </row>
    <row r="30" spans="2:14" s="301" customFormat="1" ht="15.75" x14ac:dyDescent="0.25">
      <c r="C30" s="327" t="s">
        <v>172</v>
      </c>
      <c r="D30" s="392" t="s">
        <v>211</v>
      </c>
      <c r="E30" s="392"/>
      <c r="F30" s="404"/>
      <c r="M30" s="282" t="s">
        <v>229</v>
      </c>
      <c r="N30" s="204">
        <v>0.5</v>
      </c>
    </row>
    <row r="31" spans="2:14" s="301" customFormat="1" ht="15.75" x14ac:dyDescent="0.25">
      <c r="C31" s="328"/>
      <c r="D31" s="329"/>
      <c r="E31" s="270" t="s">
        <v>174</v>
      </c>
      <c r="F31" s="330" t="s">
        <v>175</v>
      </c>
      <c r="M31" s="282"/>
      <c r="N31" s="282"/>
    </row>
    <row r="32" spans="2:14" s="301" customFormat="1" x14ac:dyDescent="0.25">
      <c r="M32" s="282">
        <v>100</v>
      </c>
      <c r="N32" s="344">
        <v>0.85</v>
      </c>
    </row>
    <row r="33" spans="2:14" s="301" customFormat="1" ht="18.75" customHeight="1" x14ac:dyDescent="0.35">
      <c r="C33" s="301" t="s">
        <v>198</v>
      </c>
      <c r="D33" s="309" t="e">
        <f>VLOOKUP(D10,M32:N37,2,FALSE)</f>
        <v>#N/A</v>
      </c>
      <c r="E33" s="308">
        <f>D10</f>
        <v>0</v>
      </c>
      <c r="F33" s="393">
        <v>6000</v>
      </c>
      <c r="G33" s="393"/>
      <c r="M33" s="282">
        <v>170</v>
      </c>
      <c r="N33" s="344">
        <v>0.85</v>
      </c>
    </row>
    <row r="34" spans="2:14" s="301" customFormat="1" x14ac:dyDescent="0.25">
      <c r="E34" s="307">
        <f>D11</f>
        <v>4200</v>
      </c>
      <c r="F34" s="301">
        <v>6000</v>
      </c>
      <c r="G34" s="310">
        <f>E34</f>
        <v>4200</v>
      </c>
      <c r="M34" s="282">
        <v>210</v>
      </c>
      <c r="N34" s="344">
        <v>0.85</v>
      </c>
    </row>
    <row r="35" spans="2:14" s="301" customFormat="1" x14ac:dyDescent="0.25">
      <c r="M35" s="282">
        <v>280</v>
      </c>
      <c r="N35" s="344">
        <v>0.85</v>
      </c>
    </row>
    <row r="36" spans="2:14" s="301" customFormat="1" ht="20.25" customHeight="1" x14ac:dyDescent="0.35">
      <c r="C36" s="301" t="s">
        <v>198</v>
      </c>
      <c r="D36" s="289" t="e">
        <f>D33*0.85*E33*F33</f>
        <v>#N/A</v>
      </c>
      <c r="E36" s="311" t="e">
        <f>ROUND(D36/D37,4)</f>
        <v>#N/A</v>
      </c>
      <c r="M36" s="282">
        <v>350</v>
      </c>
      <c r="N36" s="344">
        <v>0.8</v>
      </c>
    </row>
    <row r="37" spans="2:14" s="301" customFormat="1" x14ac:dyDescent="0.25">
      <c r="D37" s="286">
        <f>E34*(F34+G34)</f>
        <v>42840000</v>
      </c>
      <c r="M37" s="282">
        <v>420</v>
      </c>
      <c r="N37" s="344">
        <v>0.75</v>
      </c>
    </row>
    <row r="38" spans="2:14" s="301" customFormat="1" x14ac:dyDescent="0.25"/>
    <row r="39" spans="2:14" s="301" customFormat="1" x14ac:dyDescent="0.25"/>
    <row r="40" spans="2:14" s="301" customFormat="1" ht="15.75" x14ac:dyDescent="0.25">
      <c r="C40" s="401" t="s">
        <v>197</v>
      </c>
      <c r="D40" s="401"/>
      <c r="E40" s="403"/>
      <c r="F40" s="403"/>
      <c r="G40" s="403"/>
    </row>
    <row r="41" spans="2:14" s="301" customFormat="1" x14ac:dyDescent="0.25"/>
    <row r="42" spans="2:14" s="301" customFormat="1" ht="18.75" x14ac:dyDescent="0.3">
      <c r="C42" s="312" t="s">
        <v>199</v>
      </c>
      <c r="D42" s="313" t="e">
        <f>VLOOKUP(E40,M29:N30,2,)</f>
        <v>#N/A</v>
      </c>
      <c r="E42" s="314" t="e">
        <f>E36</f>
        <v>#N/A</v>
      </c>
      <c r="F42" s="288" t="e">
        <f>ROUND(E42*D42,4)</f>
        <v>#N/A</v>
      </c>
    </row>
    <row r="43" spans="2:14" s="301" customFormat="1" x14ac:dyDescent="0.25"/>
    <row r="44" spans="2:14" s="301" customFormat="1" x14ac:dyDescent="0.25">
      <c r="B44" s="281" t="s">
        <v>200</v>
      </c>
      <c r="C44" s="281" t="s">
        <v>201</v>
      </c>
      <c r="D44" s="281"/>
      <c r="E44" s="281"/>
      <c r="F44" s="281"/>
      <c r="G44" s="281"/>
      <c r="H44" s="281"/>
      <c r="I44" s="281"/>
      <c r="J44" s="281"/>
      <c r="K44" s="281"/>
      <c r="L44" s="281"/>
      <c r="M44" s="281"/>
    </row>
    <row r="45" spans="2:14" s="301" customFormat="1" x14ac:dyDescent="0.25"/>
    <row r="46" spans="2:14" s="301" customFormat="1" ht="17.25" customHeight="1" x14ac:dyDescent="0.3">
      <c r="B46" s="396" t="s">
        <v>129</v>
      </c>
      <c r="C46" s="396"/>
      <c r="D46" s="395" t="s">
        <v>202</v>
      </c>
      <c r="E46" s="395"/>
    </row>
    <row r="47" spans="2:14" s="301" customFormat="1" x14ac:dyDescent="0.25"/>
    <row r="48" spans="2:14" s="301" customFormat="1" ht="18.75" customHeight="1" x14ac:dyDescent="0.35">
      <c r="C48" s="303" t="s">
        <v>203</v>
      </c>
      <c r="D48" s="301" t="e">
        <f>ROUND(F42,4)</f>
        <v>#N/A</v>
      </c>
      <c r="E48" s="315">
        <f>D6</f>
        <v>0</v>
      </c>
      <c r="F48" s="316">
        <f>D9</f>
        <v>0</v>
      </c>
      <c r="G48" s="311" t="e">
        <f>ROUND(F48*E48*D48,2)</f>
        <v>#N/A</v>
      </c>
      <c r="H48" s="301" t="s">
        <v>215</v>
      </c>
    </row>
    <row r="49" spans="2:13" s="301" customFormat="1" x14ac:dyDescent="0.25"/>
    <row r="50" spans="2:13" s="301" customFormat="1" x14ac:dyDescent="0.25"/>
    <row r="51" spans="2:13" s="301" customFormat="1" x14ac:dyDescent="0.25">
      <c r="F51" s="313" t="e">
        <f>G48</f>
        <v>#N/A</v>
      </c>
      <c r="G51" s="135">
        <f>E34</f>
        <v>4200</v>
      </c>
      <c r="H51" s="318" t="e">
        <f>ROUND((F51*G51)/(E52*F52*G52),2)</f>
        <v>#N/A</v>
      </c>
      <c r="I51" s="301" t="s">
        <v>167</v>
      </c>
    </row>
    <row r="52" spans="2:13" s="301" customFormat="1" x14ac:dyDescent="0.25">
      <c r="E52" s="301">
        <v>0.85</v>
      </c>
      <c r="F52" s="317">
        <f>D10</f>
        <v>0</v>
      </c>
      <c r="G52" s="286">
        <f>E48</f>
        <v>0</v>
      </c>
    </row>
    <row r="53" spans="2:13" s="301" customFormat="1" x14ac:dyDescent="0.25"/>
    <row r="54" spans="2:13" s="301" customFormat="1" x14ac:dyDescent="0.25">
      <c r="B54" s="281" t="s">
        <v>204</v>
      </c>
      <c r="C54" s="281" t="s">
        <v>205</v>
      </c>
      <c r="D54" s="281"/>
      <c r="E54" s="281"/>
      <c r="F54" s="281"/>
      <c r="G54" s="281"/>
      <c r="H54" s="281"/>
      <c r="I54" s="281"/>
      <c r="J54" s="281"/>
      <c r="K54" s="281"/>
      <c r="L54" s="281"/>
      <c r="M54" s="281"/>
    </row>
    <row r="55" spans="2:13" s="301" customFormat="1" x14ac:dyDescent="0.25"/>
    <row r="56" spans="2:13" s="301" customFormat="1" x14ac:dyDescent="0.25"/>
    <row r="57" spans="2:13" s="301" customFormat="1" x14ac:dyDescent="0.25"/>
    <row r="58" spans="2:13" s="301" customFormat="1" x14ac:dyDescent="0.25"/>
    <row r="59" spans="2:13" s="301" customFormat="1" x14ac:dyDescent="0.25"/>
    <row r="60" spans="2:13" s="301" customFormat="1" x14ac:dyDescent="0.25">
      <c r="C60" s="301" t="s">
        <v>206</v>
      </c>
      <c r="D60" s="319">
        <v>0.9</v>
      </c>
      <c r="E60" s="319" t="e">
        <f>G48</f>
        <v>#N/A</v>
      </c>
      <c r="F60" s="307">
        <f>G51</f>
        <v>4200</v>
      </c>
      <c r="G60" s="323">
        <f>F48</f>
        <v>0</v>
      </c>
      <c r="H60" s="321" t="e">
        <f>H51</f>
        <v>#N/A</v>
      </c>
      <c r="I60" s="286" t="s">
        <v>38</v>
      </c>
      <c r="J60" s="325" t="e">
        <f>ROUND(D60*E60*F60*(G60-(H60/H61))/100000,2)</f>
        <v>#N/A</v>
      </c>
      <c r="K60" s="301" t="s">
        <v>185</v>
      </c>
    </row>
    <row r="61" spans="2:13" s="301" customFormat="1" x14ac:dyDescent="0.25">
      <c r="H61" s="286">
        <v>2</v>
      </c>
    </row>
    <row r="62" spans="2:13" s="301" customFormat="1" x14ac:dyDescent="0.25"/>
    <row r="63" spans="2:13" s="301" customFormat="1" x14ac:dyDescent="0.25">
      <c r="B63" s="281" t="s">
        <v>209</v>
      </c>
      <c r="C63" s="281" t="s">
        <v>207</v>
      </c>
      <c r="D63" s="281"/>
      <c r="E63" s="281"/>
      <c r="F63" s="281"/>
      <c r="G63" s="281"/>
      <c r="H63" s="281"/>
      <c r="I63" s="281"/>
      <c r="J63" s="281"/>
      <c r="K63" s="281"/>
      <c r="L63" s="281"/>
      <c r="M63" s="281"/>
    </row>
    <row r="64" spans="2:13" s="301" customFormat="1" x14ac:dyDescent="0.25"/>
    <row r="65" spans="2:13" s="301" customFormat="1" x14ac:dyDescent="0.25">
      <c r="C65" s="397" t="s">
        <v>208</v>
      </c>
      <c r="D65" s="398"/>
    </row>
    <row r="66" spans="2:13" s="301" customFormat="1" ht="8.25" customHeight="1" x14ac:dyDescent="0.25">
      <c r="C66" s="399"/>
      <c r="D66" s="400"/>
    </row>
    <row r="67" spans="2:13" s="301" customFormat="1" x14ac:dyDescent="0.25">
      <c r="D67" s="319"/>
    </row>
    <row r="68" spans="2:13" s="301" customFormat="1" x14ac:dyDescent="0.25">
      <c r="C68" s="303" t="s">
        <v>212</v>
      </c>
      <c r="D68" s="326">
        <f>J18</f>
        <v>0</v>
      </c>
      <c r="E68" s="324" t="e">
        <f>J60</f>
        <v>#N/A</v>
      </c>
      <c r="F68" s="286" t="s">
        <v>38</v>
      </c>
      <c r="G68" s="325" t="e">
        <f>ROUND(D68-E68,2)</f>
        <v>#N/A</v>
      </c>
      <c r="H68" s="301" t="s">
        <v>185</v>
      </c>
    </row>
    <row r="69" spans="2:13" s="301" customFormat="1" x14ac:dyDescent="0.25"/>
    <row r="70" spans="2:13" s="301" customFormat="1" x14ac:dyDescent="0.25">
      <c r="B70" s="281"/>
      <c r="C70" s="281" t="s">
        <v>210</v>
      </c>
      <c r="D70" s="281"/>
      <c r="E70" s="281"/>
      <c r="F70" s="281"/>
      <c r="G70" s="281"/>
      <c r="H70" s="281"/>
      <c r="I70" s="281"/>
      <c r="J70" s="281"/>
      <c r="K70" s="281"/>
      <c r="L70" s="281"/>
      <c r="M70" s="281"/>
    </row>
    <row r="71" spans="2:13" s="301" customFormat="1" x14ac:dyDescent="0.25"/>
    <row r="72" spans="2:13" s="301" customFormat="1" x14ac:dyDescent="0.25"/>
    <row r="73" spans="2:13" s="301" customFormat="1" x14ac:dyDescent="0.25"/>
    <row r="74" spans="2:13" s="301" customFormat="1" x14ac:dyDescent="0.25"/>
    <row r="75" spans="2:13" s="301" customFormat="1" x14ac:dyDescent="0.25"/>
    <row r="76" spans="2:13" s="301" customFormat="1" x14ac:dyDescent="0.25">
      <c r="E76" s="303" t="s">
        <v>38</v>
      </c>
      <c r="F76" s="320" t="e">
        <f>G68</f>
        <v>#N/A</v>
      </c>
      <c r="G76" s="331">
        <v>100000</v>
      </c>
      <c r="H76" s="303" t="s">
        <v>38</v>
      </c>
      <c r="I76" s="332" t="e">
        <f>(F76*G76)/((E77*F77*(G77-H77)))</f>
        <v>#N/A</v>
      </c>
      <c r="J76" s="301" t="s">
        <v>215</v>
      </c>
    </row>
    <row r="77" spans="2:13" s="301" customFormat="1" x14ac:dyDescent="0.25">
      <c r="E77" s="194">
        <v>0.9</v>
      </c>
      <c r="F77" s="317">
        <f>F60</f>
        <v>4200</v>
      </c>
      <c r="G77" s="322">
        <f>G60</f>
        <v>0</v>
      </c>
      <c r="H77" s="298">
        <f>D8</f>
        <v>0</v>
      </c>
    </row>
    <row r="78" spans="2:13" s="301" customFormat="1" x14ac:dyDescent="0.25"/>
    <row r="79" spans="2:13" s="301" customFormat="1" x14ac:dyDescent="0.25">
      <c r="B79" s="281" t="s">
        <v>213</v>
      </c>
      <c r="C79" s="281" t="s">
        <v>214</v>
      </c>
      <c r="D79" s="281"/>
      <c r="E79" s="281"/>
      <c r="F79" s="281"/>
      <c r="G79" s="281"/>
      <c r="H79" s="281"/>
      <c r="I79" s="281"/>
      <c r="J79" s="281"/>
      <c r="K79" s="281"/>
      <c r="L79" s="281"/>
      <c r="M79" s="281"/>
    </row>
    <row r="80" spans="2:13" s="301" customFormat="1" x14ac:dyDescent="0.25"/>
    <row r="81" spans="4:18" s="301" customFormat="1" ht="15.75" x14ac:dyDescent="0.25">
      <c r="D81" s="333" t="s">
        <v>38</v>
      </c>
      <c r="E81" s="286" t="e">
        <f>G48</f>
        <v>#N/A</v>
      </c>
      <c r="F81" s="334" t="e">
        <f>I76</f>
        <v>#N/A</v>
      </c>
      <c r="G81" s="109" t="s">
        <v>38</v>
      </c>
      <c r="H81" s="332" t="e">
        <f>ROUND(E81+F81,2)</f>
        <v>#N/A</v>
      </c>
      <c r="I81" s="301" t="s">
        <v>215</v>
      </c>
    </row>
    <row r="82" spans="4:18" s="301" customFormat="1" x14ac:dyDescent="0.25"/>
    <row r="83" spans="4:18" s="301" customFormat="1" ht="15.75" x14ac:dyDescent="0.25">
      <c r="K83" s="339" t="s">
        <v>168</v>
      </c>
      <c r="L83" s="340" t="s">
        <v>169</v>
      </c>
      <c r="M83" s="340" t="s">
        <v>170</v>
      </c>
      <c r="R83" s="335"/>
    </row>
    <row r="84" spans="4:18" s="301" customFormat="1" x14ac:dyDescent="0.25">
      <c r="K84" s="348" t="s">
        <v>171</v>
      </c>
      <c r="L84" s="349">
        <v>0.95</v>
      </c>
      <c r="M84" s="349">
        <v>0.71</v>
      </c>
      <c r="R84" s="336"/>
    </row>
    <row r="85" spans="4:18" s="301" customFormat="1" x14ac:dyDescent="0.25">
      <c r="G85" s="283" t="s">
        <v>216</v>
      </c>
      <c r="H85" s="285" t="e">
        <f>I76</f>
        <v>#N/A</v>
      </c>
      <c r="I85" s="301" t="s">
        <v>215</v>
      </c>
      <c r="K85" s="348" t="s">
        <v>173</v>
      </c>
      <c r="L85" s="349">
        <v>1.27</v>
      </c>
      <c r="M85" s="349">
        <v>1.27</v>
      </c>
      <c r="R85" s="336"/>
    </row>
    <row r="86" spans="4:18" s="301" customFormat="1" x14ac:dyDescent="0.25">
      <c r="H86" s="290" t="e">
        <f>VLOOKUP(I87,K84:M93,3,)</f>
        <v>#N/A</v>
      </c>
      <c r="K86" s="348" t="s">
        <v>176</v>
      </c>
      <c r="L86" s="349">
        <v>1.59</v>
      </c>
      <c r="M86" s="349">
        <v>1.98</v>
      </c>
      <c r="R86" s="336"/>
    </row>
    <row r="87" spans="4:18" s="301" customFormat="1" x14ac:dyDescent="0.25">
      <c r="G87" s="303" t="s">
        <v>65</v>
      </c>
      <c r="H87" s="338" t="e">
        <f>ROUNDUP(H85/H86,0)</f>
        <v>#N/A</v>
      </c>
      <c r="I87" s="145"/>
      <c r="K87" s="348" t="s">
        <v>177</v>
      </c>
      <c r="L87" s="349">
        <v>1.91</v>
      </c>
      <c r="M87" s="349">
        <v>2.85</v>
      </c>
      <c r="R87" s="336"/>
    </row>
    <row r="88" spans="4:18" s="301" customFormat="1" x14ac:dyDescent="0.25">
      <c r="D88" s="286" t="str">
        <f>K84</f>
        <v>3/8"</v>
      </c>
      <c r="K88" s="348" t="s">
        <v>178</v>
      </c>
      <c r="L88" s="349">
        <v>2.2200000000000002</v>
      </c>
      <c r="M88" s="349">
        <v>3.88</v>
      </c>
      <c r="R88" s="336"/>
    </row>
    <row r="89" spans="4:18" s="301" customFormat="1" x14ac:dyDescent="0.25">
      <c r="K89" s="348" t="s">
        <v>179</v>
      </c>
      <c r="L89" s="349">
        <v>2.54</v>
      </c>
      <c r="M89" s="349">
        <v>5.07</v>
      </c>
      <c r="R89" s="336"/>
    </row>
    <row r="90" spans="4:18" s="301" customFormat="1" x14ac:dyDescent="0.25">
      <c r="K90" s="348" t="s">
        <v>180</v>
      </c>
      <c r="L90" s="349">
        <v>2.86</v>
      </c>
      <c r="M90" s="349">
        <v>6.41</v>
      </c>
      <c r="R90" s="336"/>
    </row>
    <row r="91" spans="4:18" s="301" customFormat="1" x14ac:dyDescent="0.25">
      <c r="K91" s="348" t="s">
        <v>181</v>
      </c>
      <c r="L91" s="349">
        <v>3.18</v>
      </c>
      <c r="M91" s="349">
        <v>7.92</v>
      </c>
      <c r="R91" s="336"/>
    </row>
    <row r="92" spans="4:18" s="301" customFormat="1" x14ac:dyDescent="0.25">
      <c r="G92" s="283" t="s">
        <v>217</v>
      </c>
      <c r="H92" s="285" t="e">
        <f>H81</f>
        <v>#N/A</v>
      </c>
      <c r="I92" s="301" t="s">
        <v>215</v>
      </c>
      <c r="K92" s="348" t="s">
        <v>182</v>
      </c>
      <c r="L92" s="349">
        <v>3.49</v>
      </c>
      <c r="M92" s="349">
        <v>9.58</v>
      </c>
      <c r="R92" s="336"/>
    </row>
    <row r="93" spans="4:18" s="301" customFormat="1" x14ac:dyDescent="0.25">
      <c r="H93" s="290" t="e">
        <f>VLOOKUP(I94,K84:M93,3,)</f>
        <v>#N/A</v>
      </c>
      <c r="K93" s="350" t="s">
        <v>183</v>
      </c>
      <c r="L93" s="349">
        <v>3.81</v>
      </c>
      <c r="M93" s="349">
        <v>11.4</v>
      </c>
      <c r="R93" s="337"/>
    </row>
    <row r="94" spans="4:18" s="301" customFormat="1" x14ac:dyDescent="0.25">
      <c r="G94" s="303" t="s">
        <v>65</v>
      </c>
      <c r="H94" s="338" t="e">
        <f>ROUNDUP(H92/H93,0)</f>
        <v>#N/A</v>
      </c>
      <c r="I94" s="145"/>
    </row>
    <row r="95" spans="4:18" s="301" customFormat="1" x14ac:dyDescent="0.25"/>
    <row r="96" spans="4:18" s="301" customFormat="1" x14ac:dyDescent="0.25"/>
    <row r="97" spans="2:13" s="301" customFormat="1" x14ac:dyDescent="0.25">
      <c r="B97" s="281" t="s">
        <v>213</v>
      </c>
      <c r="C97" s="281" t="s">
        <v>218</v>
      </c>
      <c r="D97" s="281"/>
      <c r="E97" s="281"/>
      <c r="F97" s="281"/>
      <c r="G97" s="281"/>
      <c r="H97" s="281"/>
      <c r="I97" s="281"/>
      <c r="J97" s="281"/>
      <c r="K97" s="281"/>
      <c r="L97" s="281"/>
      <c r="M97" s="281"/>
    </row>
    <row r="98" spans="2:13" s="301" customFormat="1" x14ac:dyDescent="0.25"/>
    <row r="99" spans="2:13" s="301" customFormat="1" x14ac:dyDescent="0.25"/>
    <row r="100" spans="2:13" s="301" customFormat="1" x14ac:dyDescent="0.25"/>
    <row r="101" spans="2:13" s="301" customFormat="1" x14ac:dyDescent="0.25"/>
    <row r="102" spans="2:13" s="301" customFormat="1" ht="15.75" x14ac:dyDescent="0.25">
      <c r="C102" s="327" t="s">
        <v>221</v>
      </c>
      <c r="D102" s="392" t="s">
        <v>211</v>
      </c>
      <c r="E102" s="392"/>
      <c r="F102" s="392"/>
      <c r="G102" s="187" t="s">
        <v>220</v>
      </c>
    </row>
    <row r="103" spans="2:13" s="301" customFormat="1" ht="15.75" x14ac:dyDescent="0.25">
      <c r="C103" s="328"/>
      <c r="D103" s="329"/>
      <c r="E103" s="270" t="s">
        <v>174</v>
      </c>
      <c r="F103" s="270" t="s">
        <v>175</v>
      </c>
      <c r="G103" s="188" t="s">
        <v>219</v>
      </c>
    </row>
    <row r="104" spans="2:13" s="301" customFormat="1" x14ac:dyDescent="0.25"/>
    <row r="105" spans="2:13" s="301" customFormat="1" ht="17.25" customHeight="1" x14ac:dyDescent="0.35">
      <c r="C105" s="301" t="s">
        <v>222</v>
      </c>
      <c r="D105" s="309" t="e">
        <f>D33</f>
        <v>#N/A</v>
      </c>
      <c r="E105" s="308">
        <f>E33</f>
        <v>0</v>
      </c>
      <c r="F105" s="393">
        <v>6000</v>
      </c>
      <c r="G105" s="393"/>
      <c r="H105" s="341">
        <f>D8</f>
        <v>0</v>
      </c>
      <c r="I105" s="394" t="e">
        <f>H85</f>
        <v>#N/A</v>
      </c>
      <c r="J105" s="394"/>
    </row>
    <row r="106" spans="2:13" s="301" customFormat="1" x14ac:dyDescent="0.25">
      <c r="E106" s="307">
        <f>E34</f>
        <v>4200</v>
      </c>
      <c r="F106" s="301">
        <v>6000</v>
      </c>
      <c r="G106" s="310">
        <f>E106</f>
        <v>4200</v>
      </c>
      <c r="H106" s="316">
        <f>D9</f>
        <v>0</v>
      </c>
      <c r="I106" s="342">
        <f>D6</f>
        <v>0</v>
      </c>
      <c r="J106" s="285">
        <f>D9</f>
        <v>0</v>
      </c>
    </row>
    <row r="107" spans="2:13" s="301" customFormat="1" x14ac:dyDescent="0.25"/>
    <row r="108" spans="2:13" s="301" customFormat="1" ht="7.5" customHeight="1" x14ac:dyDescent="0.25">
      <c r="C108" s="282"/>
      <c r="D108" s="290" t="e">
        <f>ROUND(0.85*D105,3)</f>
        <v>#N/A</v>
      </c>
      <c r="E108" s="282">
        <f>ROUND(E105/E106,3)</f>
        <v>0</v>
      </c>
      <c r="F108" s="282">
        <f>ROUND(F105/(F106+G106),3)</f>
        <v>0.58799999999999997</v>
      </c>
      <c r="G108" s="282" t="e">
        <f>ROUND(H105/H106,3)</f>
        <v>#DIV/0!</v>
      </c>
      <c r="H108" s="282" t="e">
        <f>ROUND(I105/(I106*J106),3)</f>
        <v>#N/A</v>
      </c>
    </row>
    <row r="109" spans="2:13" s="301" customFormat="1" ht="21" x14ac:dyDescent="0.35">
      <c r="C109" s="301" t="s">
        <v>222</v>
      </c>
      <c r="D109" s="311" t="e">
        <f>ROUND((D108*E108*F108*G108)+(H108),4)</f>
        <v>#N/A</v>
      </c>
    </row>
    <row r="110" spans="2:13" s="301" customFormat="1" x14ac:dyDescent="0.25">
      <c r="J110" s="361" t="s">
        <v>226</v>
      </c>
      <c r="K110" s="361" t="e">
        <f>IF(G112&gt;D109,"&gt;","&lt;")</f>
        <v>#N/A</v>
      </c>
      <c r="L110" s="361" t="s">
        <v>227</v>
      </c>
      <c r="M110" s="391" t="e">
        <f>IF(G112&gt;D109," OK  cumple!","REDISEÑAR")</f>
        <v>#N/A</v>
      </c>
    </row>
    <row r="111" spans="2:13" s="301" customFormat="1" x14ac:dyDescent="0.25">
      <c r="J111" s="361"/>
      <c r="K111" s="361"/>
      <c r="L111" s="361"/>
      <c r="M111" s="391"/>
    </row>
    <row r="112" spans="2:13" s="301" customFormat="1" ht="23.25" x14ac:dyDescent="0.35">
      <c r="C112" s="312" t="s">
        <v>223</v>
      </c>
      <c r="D112" s="289" t="s">
        <v>224</v>
      </c>
      <c r="E112" s="343" t="e">
        <f>H81</f>
        <v>#N/A</v>
      </c>
      <c r="F112" s="303" t="s">
        <v>38</v>
      </c>
      <c r="G112" s="287" t="e">
        <f>ROUND((E112/(E113*F113)),4)</f>
        <v>#N/A</v>
      </c>
    </row>
    <row r="113" spans="4:6" s="301" customFormat="1" x14ac:dyDescent="0.25">
      <c r="D113" s="286" t="s">
        <v>225</v>
      </c>
      <c r="E113" s="342">
        <f>I106</f>
        <v>0</v>
      </c>
      <c r="F113" s="302">
        <f>J106</f>
        <v>0</v>
      </c>
    </row>
    <row r="114" spans="4:6" s="301" customFormat="1" x14ac:dyDescent="0.25"/>
    <row r="115" spans="4:6" s="301" customFormat="1" x14ac:dyDescent="0.25"/>
    <row r="116" spans="4:6" s="301" customFormat="1" x14ac:dyDescent="0.25"/>
  </sheetData>
  <sheetProtection password="CB07" sheet="1" objects="1" scenarios="1"/>
  <mergeCells count="16">
    <mergeCell ref="B2:M3"/>
    <mergeCell ref="E40:G40"/>
    <mergeCell ref="D30:F30"/>
    <mergeCell ref="C5:D5"/>
    <mergeCell ref="F33:G33"/>
    <mergeCell ref="D46:E46"/>
    <mergeCell ref="B46:C46"/>
    <mergeCell ref="C65:D66"/>
    <mergeCell ref="C40:D40"/>
    <mergeCell ref="L110:L111"/>
    <mergeCell ref="M110:M111"/>
    <mergeCell ref="D102:F102"/>
    <mergeCell ref="F105:G105"/>
    <mergeCell ref="I105:J105"/>
    <mergeCell ref="J110:J111"/>
    <mergeCell ref="K110:K111"/>
  </mergeCells>
  <dataValidations count="3">
    <dataValidation type="list" allowBlank="1" showInputMessage="1" showErrorMessage="1" sqref="D10">
      <formula1>$O$6:$O$11</formula1>
    </dataValidation>
    <dataValidation type="list" allowBlank="1" showInputMessage="1" showErrorMessage="1" sqref="E40:G40">
      <formula1>$M$29:$M$30</formula1>
    </dataValidation>
    <dataValidation type="list" allowBlank="1" showInputMessage="1" showErrorMessage="1" sqref="I87 I94">
      <formula1>$K$84:$K$93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EDIFICIO 10 NIVELES</vt:lpstr>
      <vt:lpstr>VIGA DOBLE ARMADA</vt:lpstr>
    </vt:vector>
  </TitlesOfParts>
  <Company>guardia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</dc:creator>
  <cp:lastModifiedBy>ALEXANDER</cp:lastModifiedBy>
  <dcterms:created xsi:type="dcterms:W3CDTF">2013-10-05T04:19:53Z</dcterms:created>
  <dcterms:modified xsi:type="dcterms:W3CDTF">2014-06-11T19:16:21Z</dcterms:modified>
</cp:coreProperties>
</file>